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defaultThemeVersion="166925"/>
  <mc:AlternateContent xmlns:mc="http://schemas.openxmlformats.org/markup-compatibility/2006">
    <mc:Choice Requires="x15">
      <x15ac:absPath xmlns:x15ac="http://schemas.microsoft.com/office/spreadsheetml/2010/11/ac" url="https://americanfarmlandtrust-my.sharepoint.com/personal/plum_farmland_org/Documents/Documents/CA-27 Irrigation Case Study/"/>
    </mc:Choice>
  </mc:AlternateContent>
  <xr:revisionPtr revIDLastSave="0" documentId="8_{163398E4-02F4-4286-A309-0BAA62077BFA}" xr6:coauthVersionLast="47" xr6:coauthVersionMax="47" xr10:uidLastSave="{00000000-0000-0000-0000-000000000000}"/>
  <bookViews>
    <workbookView xWindow="-110" yWindow="-110" windowWidth="19420" windowHeight="10420" xr2:uid="{26EDB127-CC7F-4052-9587-5397293D5DF8}"/>
  </bookViews>
  <sheets>
    <sheet name="Calculator" sheetId="1" r:id="rId1"/>
    <sheet name="Practices" sheetId="7" r:id="rId2"/>
    <sheet name="Economic Cost Data" sheetId="4" r:id="rId3"/>
    <sheet name="Basic Data" sheetId="6" r:id="rId4"/>
    <sheet name="Lists" sheetId="3" r:id="rId5"/>
  </sheets>
  <definedNames>
    <definedName name="Applied_Water">Table1_SubCategories[Applied Water Monitoring]</definedName>
    <definedName name="Categories_1_Transposed">Lists!$C$20:$C$26</definedName>
    <definedName name="Categories_2_Transposed">Lists!$C$30:$C$35</definedName>
    <definedName name="Combo_Box_1__Category_Output_Cell_Link">Lists!$B$20:$B$26</definedName>
    <definedName name="Combo_Box_2__Category_Output_Cell_Link">Lists!$B$30:$B$35</definedName>
    <definedName name="Evapotranspiration">Table1_SubCategories[Evapotranspiration Monitoring]</definedName>
    <definedName name="Irrigation_System_Performance">Table1_SubCategories[Irrigation System Performance Monitoring]</definedName>
    <definedName name="List_Box_1__Sub_Category_Output_Cell_Link">Lists!$D$20:$D$26</definedName>
    <definedName name="List_Box_2__Sub_Category_Output_Cell_Link">Lists!$D$30:$D$35</definedName>
    <definedName name="List1">Lists!$E$20:INDEX(Lists!$E$20:$E$27, MATCH("zzzzzz",Lists!$E$20:$E$27,1))</definedName>
    <definedName name="List2">Lists!$E$30:INDEX(Lists!$E$30:$E$37, MATCH("zzzzzz",Lists!$E$30:$E$37,1))</definedName>
    <definedName name="Monitoring_Category">Table1_SubCategories[#Headers]</definedName>
    <definedName name="Plant_Water_Status">Table1_SubCategories[Plant Water Status Monitoring]</definedName>
    <definedName name="_xlnm.Print_Area" localSheetId="0">Calculator!$A$41:$H$89</definedName>
    <definedName name="Soil_Moisture">Table1_SubCategories[Soil Moisture Monitoring]</definedName>
    <definedName name="SubCategory_1_Content">Lists!$E$20:$E$26</definedName>
    <definedName name="SubCategory_2_Content">Lists!$E$30:$E$35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 l="1"/>
  <c r="H16" i="4"/>
  <c r="H17" i="4"/>
  <c r="H23" i="4"/>
  <c r="H24" i="4"/>
  <c r="H25" i="4"/>
  <c r="F15" i="4"/>
  <c r="F5" i="4"/>
  <c r="F4" i="4"/>
  <c r="B29" i="4"/>
  <c r="I29" i="4" s="1"/>
  <c r="B25" i="4"/>
  <c r="B22" i="4"/>
  <c r="B17" i="4"/>
  <c r="B16" i="4"/>
  <c r="B10" i="4"/>
  <c r="F10" i="4" s="1"/>
  <c r="O10" i="4" s="1"/>
  <c r="B6" i="4"/>
  <c r="B22" i="6"/>
  <c r="C30" i="4"/>
  <c r="F30" i="4" s="1"/>
  <c r="C25" i="4"/>
  <c r="C7" i="4"/>
  <c r="F7" i="4" s="1"/>
  <c r="C6" i="4"/>
  <c r="B12" i="4"/>
  <c r="F12" i="4" s="1"/>
  <c r="B11" i="4"/>
  <c r="F11" i="4" s="1"/>
  <c r="E20" i="3" l="1" a="1"/>
  <c r="E20" i="3" s="1"/>
  <c r="A30" i="4"/>
  <c r="K15" i="4"/>
  <c r="I7" i="4"/>
  <c r="K16" i="4"/>
  <c r="K17" i="4"/>
  <c r="A7" i="4"/>
  <c r="L22" i="4"/>
  <c r="E35" i="3" l="1" a="1"/>
  <c r="E35" i="3" s="1"/>
  <c r="E34" i="3" a="1"/>
  <c r="E34" i="3" s="1"/>
  <c r="E33" i="3" a="1"/>
  <c r="E33" i="3" s="1"/>
  <c r="E32" i="3" a="1"/>
  <c r="E32" i="3" s="1"/>
  <c r="E31" i="3" a="1"/>
  <c r="E31" i="3" s="1"/>
  <c r="E30" i="3" a="1"/>
  <c r="E30" i="3" s="1"/>
  <c r="C30" i="3" a="1"/>
  <c r="C30" i="3" s="1"/>
  <c r="H60" i="1" s="1" a="1"/>
  <c r="H60" i="1" s="1"/>
  <c r="E26" i="3" a="1"/>
  <c r="E26" i="3" s="1"/>
  <c r="E25" i="3" a="1"/>
  <c r="E25" i="3" s="1"/>
  <c r="E24" i="3" a="1"/>
  <c r="E24" i="3" s="1"/>
  <c r="E23" i="3" a="1"/>
  <c r="E23" i="3" s="1"/>
  <c r="E22" i="3" a="1"/>
  <c r="E22" i="3" s="1"/>
  <c r="E21" i="3" a="1"/>
  <c r="E21" i="3" s="1"/>
  <c r="C20" i="3" a="1"/>
  <c r="C22" i="3" s="1"/>
  <c r="B39" i="6"/>
  <c r="B38" i="6"/>
  <c r="B37" i="6"/>
  <c r="N25" i="4" s="1"/>
  <c r="K30" i="4"/>
  <c r="M30" i="4" s="1"/>
  <c r="I30" i="4"/>
  <c r="H30" i="4"/>
  <c r="K29" i="4"/>
  <c r="M29" i="4" s="1"/>
  <c r="N29" i="4" s="1"/>
  <c r="A29" i="4"/>
  <c r="K28" i="4"/>
  <c r="M28" i="4" s="1"/>
  <c r="N28" i="4" s="1"/>
  <c r="I28" i="4"/>
  <c r="E28" i="4"/>
  <c r="A28" i="4"/>
  <c r="K25" i="4"/>
  <c r="I25" i="4"/>
  <c r="A25" i="4"/>
  <c r="Q24" i="4"/>
  <c r="P24" i="4"/>
  <c r="K24" i="4"/>
  <c r="M24" i="4" s="1"/>
  <c r="N24" i="4" s="1"/>
  <c r="C24" i="4"/>
  <c r="A24" i="4"/>
  <c r="Q23" i="4"/>
  <c r="P23" i="4"/>
  <c r="B23" i="4" s="1"/>
  <c r="K23" i="4"/>
  <c r="M23" i="4" s="1"/>
  <c r="N23" i="4" s="1"/>
  <c r="C23" i="4"/>
  <c r="A23" i="4"/>
  <c r="K22" i="4"/>
  <c r="M22" i="4" s="1"/>
  <c r="N22" i="4" s="1"/>
  <c r="I22" i="4"/>
  <c r="A22" i="4"/>
  <c r="Q19" i="4"/>
  <c r="P19" i="4"/>
  <c r="B19" i="4" s="1"/>
  <c r="K19" i="4"/>
  <c r="M19" i="4" s="1"/>
  <c r="A19" i="4"/>
  <c r="Q18" i="4"/>
  <c r="P18" i="4"/>
  <c r="K18" i="4"/>
  <c r="M18" i="4" s="1"/>
  <c r="N18" i="4" s="1"/>
  <c r="C18" i="4"/>
  <c r="A18" i="4"/>
  <c r="M17" i="4"/>
  <c r="N17" i="4" s="1"/>
  <c r="C17" i="4"/>
  <c r="A17" i="4"/>
  <c r="M16" i="4"/>
  <c r="N16" i="4" s="1"/>
  <c r="I16" i="4"/>
  <c r="A16" i="4"/>
  <c r="M15" i="4"/>
  <c r="I15" i="4"/>
  <c r="H15" i="4"/>
  <c r="G15" i="4"/>
  <c r="A15" i="4"/>
  <c r="K12" i="4"/>
  <c r="M12" i="4" s="1"/>
  <c r="N12" i="4" s="1"/>
  <c r="A12" i="4"/>
  <c r="K11" i="4"/>
  <c r="M11" i="4" s="1"/>
  <c r="N11" i="4" s="1"/>
  <c r="A11" i="4"/>
  <c r="K10" i="4"/>
  <c r="M10" i="4" s="1"/>
  <c r="A10" i="4"/>
  <c r="K7" i="4"/>
  <c r="M7" i="4" s="1"/>
  <c r="H7" i="4"/>
  <c r="K6" i="4"/>
  <c r="M6" i="4" s="1"/>
  <c r="I6" i="4"/>
  <c r="A6" i="4"/>
  <c r="K5" i="4"/>
  <c r="M5" i="4" s="1"/>
  <c r="N5" i="4" s="1"/>
  <c r="H5" i="4"/>
  <c r="G5" i="4"/>
  <c r="A5" i="4"/>
  <c r="K4" i="4"/>
  <c r="M4" i="4" s="1"/>
  <c r="N4" i="4" s="1"/>
  <c r="I4" i="4"/>
  <c r="H4" i="4"/>
  <c r="G4" i="4"/>
  <c r="A4" i="4"/>
  <c r="A29" i="7"/>
  <c r="A28" i="7"/>
  <c r="A27" i="7"/>
  <c r="A24" i="7"/>
  <c r="A23" i="7"/>
  <c r="A22" i="7"/>
  <c r="A21" i="7"/>
  <c r="A18" i="7"/>
  <c r="A17" i="7"/>
  <c r="A16" i="7"/>
  <c r="A15" i="7"/>
  <c r="A14" i="7"/>
  <c r="A11" i="7"/>
  <c r="A10" i="7"/>
  <c r="A9" i="7"/>
  <c r="A6" i="7"/>
  <c r="A5" i="7"/>
  <c r="A4" i="7"/>
  <c r="A3" i="7"/>
  <c r="H59" i="1"/>
  <c r="G59" i="1"/>
  <c r="H52" i="1"/>
  <c r="G52" i="1"/>
  <c r="B18" i="4" l="1"/>
  <c r="I18" i="4" s="1"/>
  <c r="B24" i="4"/>
  <c r="H28" i="4"/>
  <c r="F28" i="4"/>
  <c r="G46" i="1" a="1"/>
  <c r="G46" i="1" s="1"/>
  <c r="H46" i="1" a="1"/>
  <c r="H46" i="1" s="1"/>
  <c r="C23" i="3"/>
  <c r="C24" i="3"/>
  <c r="C20" i="3"/>
  <c r="C21" i="3"/>
  <c r="G60" i="1" s="1" a="1"/>
  <c r="G60" i="1" s="1"/>
  <c r="N6" i="4"/>
  <c r="N30" i="4"/>
  <c r="O30" i="4" s="1"/>
  <c r="N7" i="4"/>
  <c r="O7" i="4" s="1"/>
  <c r="C19" i="4"/>
  <c r="N15" i="4"/>
  <c r="O15" i="4" s="1"/>
  <c r="N19" i="4"/>
  <c r="N10" i="4"/>
  <c r="C16" i="4"/>
  <c r="H61" i="1" a="1"/>
  <c r="H61" i="1" s="1"/>
  <c r="G61" i="1" a="1"/>
  <c r="G61" i="1" s="1"/>
  <c r="G50" i="1" a="1"/>
  <c r="G50" i="1" s="1"/>
  <c r="G74" i="1" s="1"/>
  <c r="E23" i="4"/>
  <c r="F23" i="4" s="1"/>
  <c r="O11" i="4"/>
  <c r="E25" i="4"/>
  <c r="F25" i="4" s="1"/>
  <c r="O12" i="4"/>
  <c r="E17" i="4"/>
  <c r="G17" i="4" s="1"/>
  <c r="I17" i="4"/>
  <c r="E29" i="4"/>
  <c r="F29" i="4" s="1"/>
  <c r="O4" i="4"/>
  <c r="E22" i="4"/>
  <c r="I19" i="4"/>
  <c r="G28" i="4"/>
  <c r="O5" i="4"/>
  <c r="H48" i="1" a="1"/>
  <c r="H48" i="1" s="1"/>
  <c r="I24" i="4"/>
  <c r="E24" i="4"/>
  <c r="G24" i="4" s="1"/>
  <c r="I23" i="4"/>
  <c r="G48" i="1" a="1"/>
  <c r="G48" i="1" s="1"/>
  <c r="E16" i="4"/>
  <c r="E6" i="4"/>
  <c r="H50" i="1" a="1"/>
  <c r="H50" i="1" s="1"/>
  <c r="H74" i="1" s="1"/>
  <c r="H62" i="1" l="1"/>
  <c r="H63" i="1" s="1"/>
  <c r="H66" i="1" s="1"/>
  <c r="H6" i="4"/>
  <c r="F6" i="4"/>
  <c r="F16" i="4"/>
  <c r="F22" i="4"/>
  <c r="F17" i="4"/>
  <c r="O17" i="4" s="1"/>
  <c r="F24" i="4"/>
  <c r="O24" i="4" s="1"/>
  <c r="G62" i="1"/>
  <c r="G63" i="1" s="1"/>
  <c r="G66" i="1" s="1"/>
  <c r="E18" i="4"/>
  <c r="H73" i="1"/>
  <c r="H68" i="1"/>
  <c r="G68" i="1"/>
  <c r="G67" i="1"/>
  <c r="G73" i="1"/>
  <c r="H72" i="1"/>
  <c r="G72" i="1"/>
  <c r="G77" i="1"/>
  <c r="H77" i="1"/>
  <c r="O28" i="4"/>
  <c r="E19" i="4"/>
  <c r="H19" i="4" s="1"/>
  <c r="H29" i="4"/>
  <c r="G25" i="4"/>
  <c r="G29" i="4"/>
  <c r="G16" i="4"/>
  <c r="G23" i="4"/>
  <c r="O23" i="4" s="1"/>
  <c r="G18" i="4"/>
  <c r="G6" i="4"/>
  <c r="O22" i="4" l="1"/>
  <c r="O16" i="4"/>
  <c r="O25" i="4"/>
  <c r="H18" i="4"/>
  <c r="F18" i="4"/>
  <c r="H67" i="1"/>
  <c r="H69" i="1" s="1"/>
  <c r="H76" i="1" s="1"/>
  <c r="H78" i="1" s="1"/>
  <c r="F19" i="4"/>
  <c r="G19" i="4"/>
  <c r="O29" i="4"/>
  <c r="O6" i="4"/>
  <c r="G69" i="1"/>
  <c r="O18" i="4" l="1"/>
  <c r="O19" i="4"/>
  <c r="G76" i="1"/>
  <c r="G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tc={49B6DB68-908F-4CFB-8085-E0C64CD1EB5F}</author>
    <author>tc={067BF790-F02F-4A10-A3E0-FD060A9DF886}</author>
    <author>tc={6F738FFF-038E-4B2C-931D-40D2B041BDC1}</author>
    <author>tc={3C0A7E93-CE26-411F-B3BE-49F4561759AE}</author>
    <author>tc={595AC92C-5A13-4E19-A36B-445D1CC18681}</author>
    <author>tc={255AB5EE-7E11-4AC7-A567-2F60ED811C15}</author>
    <author>tc={0B911060-A42B-44D5-AA15-E2D35A164057}</author>
    <author>tc={8270ED19-DC51-4975-8CC6-4D30030C16ED}</author>
    <author>tc={49A7F5FC-BF0D-461B-BC30-4DA281341A8F}</author>
    <author>tc={0F2E01E9-8DCC-4BAB-AA84-4D2067C30A7D}</author>
    <author>tc={34FE99C4-E6EC-4C61-9E40-9234AC8ACBC7}</author>
    <author>tc={F1D51703-8110-431E-B860-81C6029E1211}</author>
    <author>tc={3DB56AFD-46D5-4ABC-B09E-10D8D99DFA4F}</author>
    <author>tc={06F42F04-6520-4791-81BF-317CBD79C49B}</author>
    <author>tc={D8C5C14F-5DF3-4A01-813B-9DA6C6F1451F}</author>
  </authors>
  <commentList>
    <comment ref="A37" authorId="0" shapeId="0" xr:uid="{49B6DB68-908F-4CFB-8085-E0C64CD1EB5F}">
      <text>
        <t>[Threaded comment]
Your version of Excel allows you to read this threaded comment; however, any edits to it will get removed if the file is opened in a newer version of Excel. Learn more: https://go.microsoft.com/fwlink/?linkid=870924
Comment:
    Example comment</t>
      </text>
    </comment>
    <comment ref="B46" authorId="1" shapeId="0" xr:uid="{067BF790-F02F-4A10-A3E0-FD060A9DF886}">
      <text>
        <t>[Threaded comment]
Your version of Excel allows you to read this threaded comment; however, any edits to it will get removed if the file is opened in a newer version of Excel. Learn more: https://go.microsoft.com/fwlink/?linkid=870924
Comment:
    For subscribed services or leased equipment, this value only includes installation price. The annual fee is included in Annual Investments in Repairs &amp; Services.</t>
      </text>
    </comment>
    <comment ref="B47" authorId="2" shapeId="0" xr:uid="{6F738FFF-038E-4B2C-931D-40D2B041BDC1}">
      <text>
        <t>[Threaded comment]
Your version of Excel allows you to read this threaded comment; however, any edits to it will get removed if the file is opened in a newer version of Excel. Learn more: https://go.microsoft.com/fwlink/?linkid=870924
Comment:
    If you have your own, more accurate equipment price estimate that you would like to use instead of the default estimated price, you may enter in this row and the calculator will use your price instead of default.</t>
      </text>
    </comment>
    <comment ref="B48" authorId="3" shapeId="0" xr:uid="{3C0A7E93-CE26-411F-B3BE-49F4561759AE}">
      <text>
        <t>[Threaded comment]
Your version of Excel allows you to read this threaded comment; however, any edits to it will get removed if the file is opened in a newer version of Excel. Learn more: https://go.microsoft.com/fwlink/?linkid=870924
Comment:
    This refers to the years of useful life for a piece of equipment, or in some cases for a service.</t>
      </text>
    </comment>
    <comment ref="B49" authorId="4" shapeId="0" xr:uid="{595AC92C-5A13-4E19-A36B-445D1CC18681}">
      <text>
        <t>[Threaded comment]
Your version of Excel allows you to read this threaded comment; however, any edits to it will get removed if the file is opened in a newer version of Excel. Learn more: https://go.microsoft.com/fwlink/?linkid=870924
Comment:
    If you have a different lifespan estimate that you would like to use instead of the default estimated lifespan, you may enter in this row and the calculator will use that estimate instead of default.</t>
      </text>
    </comment>
    <comment ref="B50" authorId="5" shapeId="0" xr:uid="{255AB5EE-7E11-4AC7-A567-2F60ED811C15}">
      <text>
        <t>[Threaded comment]
Your version of Excel allows you to read this threaded comment; however, any edits to it will get removed if the file is opened in a newer version of Excel. Learn more: https://go.microsoft.com/fwlink/?linkid=870924
Comment:
    Maintenance labor is the time it takes to maintain any equipment involved with practice (e.g., cleaning out propeller flow meter, removing probe at end of season, changing batteries, etc). Operating labor is the time spent conducting the practice (e.g., taking reading off of soil moisture probes or flow meters or calculating ET). 
Reply:
    DOES NOT include transportation time (hours to get to site) as the calculator does not have a way to properly estimate transportation costs. We assume these tasks are completed alongside normal operations.</t>
      </text>
    </comment>
    <comment ref="B51" authorId="6" shapeId="0" xr:uid="{0B911060-A42B-44D5-AA15-E2D35A164057}">
      <text>
        <t>[Threaded comment]
Your version of Excel allows you to read this threaded comment; however, any edits to it will get removed if the file is opened in a newer version of Excel. Learn more: https://go.microsoft.com/fwlink/?linkid=870924
Comment:
    If you want to use a different estimated hours per year spent on maintenance and operation, you may enter here and the calculator will use your hours per year instead of default. Maintenance labor is the time it takes to maintain any equipment involved with practice (e.g., cleaning out propeller flow meter, removing probe at end of season, changing batteries, etc). Operating labor is the time spent conducting the practice (e.g., taking reading off of soil moisture probes or flow meters or calculating ET). DO NOT include transportation time (hours to get to site) as the calculator does not have a way to properly estimate transportation costs. We assume these tasks are completed alongside normal operations.</t>
      </text>
    </comment>
    <comment ref="B53" authorId="7" shapeId="0" xr:uid="{8270ED19-DC51-4975-8CC6-4D30030C16ED}">
      <text>
        <t>[Threaded comment]
Your version of Excel allows you to read this threaded comment; however, any edits to it will get removed if the file is opened in a newer version of Excel. Learn more: https://go.microsoft.com/fwlink/?linkid=870924
Comment:
    If you want to use a different hourly wage, you may enter in this row and the calculator will use your wage rate instead of default. You must enter your preferred wage twice for each management selection (Column G &amp; H).</t>
      </text>
    </comment>
    <comment ref="B66" authorId="8" shapeId="0" xr:uid="{49A7F5FC-BF0D-461B-BC30-4DA281341A8F}">
      <text>
        <t>[Threaded comment]
Your version of Excel allows you to read this threaded comment; however, any edits to it will get removed if the file is opened in a newer version of Excel. Learn more: https://go.microsoft.com/fwlink/?linkid=870924
Comment:
    Calculated using either default or user input purchase &amp; installation price, lifespan, and labor wage rate.
Reply:
    Capital recovery is the amount of money required each year to recover the difference between the purchase price and salvage value (unrecovered capital). It is the equivalent to the annual payment on a loan for the investment with the down payment equal to the discounted salvage value taking into account the time value of money (lifespan of equipment) (Duncan et al., 2019).</t>
      </text>
    </comment>
    <comment ref="B67" authorId="9" shapeId="0" xr:uid="{0F2E01E9-8DCC-4BAB-AA84-4D2067C30A7D}">
      <text>
        <t>[Threaded comment]
Your version of Excel allows you to read this threaded comment; however, any edits to it will get removed if the file is opened in a newer version of Excel. Learn more: https://go.microsoft.com/fwlink/?linkid=870924
Comment:
    This refers to:
1) property insurance for farm investments, providing coverage for property loss charged at 0.846% of the average value of the assets over their useful life (Niederholzer et al., 2022); and
2) property tax which counties charge a base rate of 1% of assessed value of the property. This annual tax is included if the practice improves the property value and calculated as 1% of average value of property (Niederholzer et al., 2022).</t>
      </text>
    </comment>
    <comment ref="B68" authorId="10" shapeId="0" xr:uid="{34FE99C4-E6EC-4C61-9E40-9234AC8ACBC7}">
      <text>
        <t xml:space="preserve">[Threaded comment]
Your version of Excel allows you to read this threaded comment; however, any edits to it will get removed if the file is opened in a newer version of Excel. Learn more: https://go.microsoft.com/fwlink/?linkid=870924
Comment:
    Annual investment in repairs and services refers to annual maintenance for equipment upkeep that inevitably has to occur and/or annual service subscribed to for non-equipment related practices. Annual maintenance of equipment is assumed to be 2% of purchase price unless more accurate data is available (Duncan et al., 2019). In some cases, there are added or substituted annual maintenance costs  if significant, see 'Economic Cost Data' tab for details.
</t>
      </text>
    </comment>
    <comment ref="B72" authorId="11" shapeId="0" xr:uid="{F1D51703-8110-431E-B860-81C6029E1211}">
      <text>
        <t>[Threaded comment]
Your version of Excel allows you to read this threaded comment; however, any edits to it will get removed if the file is opened in a newer version of Excel. Learn more: https://go.microsoft.com/fwlink/?linkid=870924
Comment:
    Maintenance labor is the time it takes to maintain any equipment involved with practice (e.g., cleaning out propeller flow meter, removing probe at end of season, changing batteries, etc).
Reply:
    DOES NOT include transportation time (hours to get to site) as the calculator does not have a way to properly estimate transportation costs. We assume these tasks are completed alongside normal operations.</t>
      </text>
    </comment>
    <comment ref="B73" authorId="12" shapeId="0" xr:uid="{3DB56AFD-46D5-4ABC-B09E-10D8D99DFA4F}">
      <text>
        <t>[Threaded comment]
Your version of Excel allows you to read this threaded comment; however, any edits to it will get removed if the file is opened in a newer version of Excel. Learn more: https://go.microsoft.com/fwlink/?linkid=870924
Comment:
    Operating labor is the time spent conducting the practice (e.g., taking reading off of soil moisture probes or flow meters or calculating ET).
Reply:
    DOES NOT include transportation time (hours to get to site) as the calculator does not have a way to properly estimate transportation costs. We assume these tasks are completed alongside normal operations.</t>
      </text>
    </comment>
    <comment ref="B74" authorId="13" shapeId="0" xr:uid="{06F42F04-6520-4791-81BF-317CBD79C49B}">
      <text>
        <t>[Threaded comment]
Your version of Excel allows you to read this threaded comment; however, any edits to it will get removed if the file is opened in a newer version of Excel. Learn more: https://go.microsoft.com/fwlink/?linkid=870924
Comment:
    Calculated using default or user-inputted labor wage rate multiplied by total labor hours per year.</t>
      </text>
    </comment>
    <comment ref="B77" authorId="14" shapeId="0" xr:uid="{D8C5C14F-5DF3-4A01-813B-9DA6C6F1451F}">
      <text>
        <t>[Threaded comment]
Your version of Excel allows you to read this threaded comment; however, any edits to it will get removed if the file is opened in a newer version of Excel. Learn more: https://go.microsoft.com/fwlink/?linkid=870924
Comment:
    Frequency is based on length of irrigation season (210 days, 30 weeks, 8 months). See "Basic Data"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tc={226673F6-8F99-48F8-B1C2-38D11D8FF801}</author>
    <author>tc={D5ECA9A6-4A66-42DA-BBE1-8C6363CEDF03}</author>
    <author>tc={0AE7B7F7-E84D-4EC8-AA77-33ABBE92FF39}</author>
    <author>tc={6CF16661-DC76-4207-A981-AA9164B47226}</author>
    <author>tc={E92312DD-3D0A-4EDD-BD77-6A15D6DAEC58}</author>
    <author>tc={12369156-0B56-400E-9115-1C52944F1CD2}</author>
    <author>tc={288178AF-16C1-45B8-8C72-F0872DC0B7F4}</author>
    <author>tc={C369D6E7-02F2-4965-9571-4A0F3A48C35F}</author>
    <author>tc={0A92CF69-8D87-4FD8-BF4E-70368FA8B7F6}</author>
    <author>tc={536C7C59-09FA-4282-85EA-012E60D18FD6}</author>
    <author>tc={C97F7A6A-2614-46F3-9BD8-4ED8F9718768}</author>
    <author>tc={1AFAD4AF-4914-4110-B42F-A54455245B85}</author>
    <author>tc={7C2E5D54-6C07-4D79-B10F-785D27964955}</author>
    <author>tc={FF44807E-7C8B-4312-8E68-3981F2FDE896}</author>
    <author>tc={3B9EF44A-316C-4DE7-87E6-C69F6F7A3D34}</author>
    <author>tc={A873AD00-A6CB-4F2F-A669-A7E3F2859BF5}</author>
    <author>tc={B4821502-C9E1-F94F-B09E-776C6C9BD583}</author>
    <author>tc={BD4B6CC6-367C-1F48-BE53-B250AAF1DB96}</author>
    <author>tc={15090992-44FD-423E-9A2C-CEB4BD2E0B32}</author>
    <author>tc={E8FA6D33-34E5-4D56-B315-1C11AD531FA8}</author>
    <author>tc={3945973F-A04E-4B10-B059-A8D1D65646FB}</author>
    <author>tc={0DD87C02-89D7-E645-A893-288DFA896223}</author>
    <author>tc={2FEE4AE0-657E-4117-AFA0-40DD5CB14028}</author>
    <author>tc={6B23AE6D-5BF0-624B-9D5F-0998517A6F87}</author>
    <author>tc={AAD55DC9-9260-48AB-BB9F-D82DDE04A4B4}</author>
    <author>tc={86CC3159-C565-4BC8-B1DB-39470D47A737}</author>
    <author>tc={1EBBE7FC-E77F-4E98-9A73-31401CB45469}</author>
    <author>tc={BED804C9-849C-4DAB-9239-F326CFD1BADA}</author>
    <author>tc={E28C957A-E29F-4DF1-BEED-9CB23D2EA532}</author>
    <author>tc={A8E8016E-7467-4BD5-8029-2D37B8BE4B33}</author>
    <author>tc={AFAD0687-FA10-B245-837A-D0811452C4C8}</author>
    <author>tc={6675C365-7A49-4668-8E2F-CAF5A7E58C0B}</author>
    <author>tc={B4E28A5E-9959-4EEB-BF3B-E8ACE6AA1960}</author>
    <author>tc={F6B99F90-95CD-4775-8727-88C30B0E4E8D}</author>
    <author>tc={8F789E0E-DFA2-49FD-BBDF-853867CDB0A0}</author>
    <author>tc={6EF239E0-2922-40DA-92E5-3BD57728C605}</author>
    <author>tc={08BC6448-77BC-9645-99BB-BD84C47CD60A}</author>
    <author>tc={3C4100B3-63D0-4F2E-A77E-AF6035196DA4}</author>
    <author>tc={70668947-14D3-4046-865D-138A7F66AC95}</author>
    <author>tc={38FF004F-7B61-4E88-9BA1-963DCB88E9C8}</author>
    <author>tc={BAEC7F5E-A313-A843-82B3-32B1AB627FFB}</author>
    <author>tc={F7639B22-0768-44F4-879A-8262C1D695E6}</author>
    <author>tc={EA9F71B2-5DEF-4DB7-9542-29128C9BCCD0}</author>
    <author>tc={9CFD5F70-BED4-CA41-97FB-7BA5768D5833}</author>
    <author>tc={4292BF6F-C004-4195-AA6D-E0CF64D81837}</author>
    <author>tc={DAB55FD2-229B-41A4-B4EE-3F6EBEF09DEB}</author>
    <author>tc={D6F7EE4F-0829-4E65-86F5-B18340216394}</author>
    <author>tc={F954B8B1-1F4F-425D-BF1D-1B940437BD06}</author>
    <author>tc={863A11DA-0BC7-4F2A-AF9A-C8462D9EC770}</author>
    <author>tc={1725EFA4-B514-4086-BD2C-79C1B80F11B7}</author>
    <author>tc={97484C4C-DF4B-459E-A12C-C3D4BDBECD77}</author>
    <author>tc={92DD55B0-BA2D-4931-9585-68D0271534DB}</author>
    <author>tc={50815054-40F5-43BC-81D1-5577EB9924AB}</author>
    <author>tc={33B505D9-C122-417B-8A62-7CB0610408BC}</author>
    <author>tc={0397A3F8-BA4B-49AD-8AF2-7A9914126501}</author>
    <author>tc={A8C6BA2C-727D-477A-8D5B-AD9274753024}</author>
    <author>tc={D7997A0C-A5B0-4A3B-B662-749F6BAD5E29}</author>
    <author>tc={1B74A85E-939B-47D9-A2B6-875347FE4B5D}</author>
    <author>tc={992B7D2A-3CA7-43A6-A802-89A51F764FB9}</author>
    <author>tc={0CF4CD07-6953-4820-8BCD-F632A9A07978}</author>
  </authors>
  <commentList>
    <comment ref="O1" authorId="0" shapeId="0" xr:uid="{226673F6-8F99-48F8-B1C2-38D11D8FF801}">
      <text>
        <t>[Threaded comment]
Your version of Excel allows you to read this threaded comment; however, any edits to it will get removed if the file is opened in a newer version of Excel. Learn more: https://go.microsoft.com/fwlink/?linkid=870924
Comment:
    Adds together values in red text.</t>
      </text>
    </comment>
    <comment ref="B2" authorId="1" shapeId="0" xr:uid="{D5ECA9A6-4A66-42DA-BBE1-8C6363CEDF03}">
      <text>
        <t>[Threaded comment]
Your version of Excel allows you to read this threaded comment; however, any edits to it will get removed if the file is opened in a newer version of Excel. Learn more: https://go.microsoft.com/fwlink/?linkid=870924
Comment:
    This is the average market value in California for associated equipment required by practice. Estimates are based on a range of market values provided by irrigation system vendors (columns P &amp; Q). Includes an additional 2.25% sales tax (CA farm equipment is exempt from portion of state sales tax). Services do not include a sales tax.</t>
      </text>
    </comment>
    <comment ref="C2" authorId="2" shapeId="0" xr:uid="{0AE7B7F7-E84D-4EC8-AA77-33ABBE92FF39}">
      <text>
        <t>[Threaded comment]
Your version of Excel allows you to read this threaded comment; however, any edits to it will get removed if the file is opened in a newer version of Excel. Learn more: https://go.microsoft.com/fwlink/?linkid=870924
Comment:
    This is the average market value in California for associated equipment installations. No cost if no equipment installation involved. If market values were not available, used estimated labor hours for installation.
Reply:
    This estimate DOES NOT include transportation time (hours to get to site) as the calculator does not have a way to properly estimate transportation costs. We assume these tasks are completed alongside normal operations, or the cost is the market value of hiring someone to install the equipment.</t>
      </text>
    </comment>
    <comment ref="D2" authorId="3" shapeId="0" xr:uid="{6CF16661-DC76-4207-A981-AA9164B47226}">
      <text>
        <t>[Threaded comment]
Your version of Excel allows you to read this threaded comment; however, any edits to it will get removed if the file is opened in a newer version of Excel. Learn more: https://go.microsoft.com/fwlink/?linkid=870924
Comment:
    The lifespan is years of useful life for a physical asset. For non-equipment practices, input number of years a measurement is good for.</t>
      </text>
    </comment>
    <comment ref="E2" authorId="4" shapeId="0" xr:uid="{E92312DD-3D0A-4EDD-BD77-6A15D6DAEC58}">
      <text>
        <t>[Threaded comment]
Your version of Excel allows you to read this threaded comment; however, any edits to it will get removed if the file is opened in a newer version of Excel. Learn more: https://go.microsoft.com/fwlink/?linkid=870924
Comment:
    "Salvage value is an estimate of the remaining value of an investment at the end of its useful life." Assumed to be 7% of purchase price based on Niederholzer et al., 2022.
Reply:
    The formulas for salvage value is: (Purchase Price * 0.07)</t>
      </text>
    </comment>
    <comment ref="F2" authorId="5" shapeId="0" xr:uid="{12369156-0B56-400E-9115-1C52944F1CD2}">
      <text>
        <t>[Threaded comment]
Your version of Excel allows you to read this threaded comment; however, any edits to it will get removed if the file is opened in a newer version of Excel. Learn more: https://go.microsoft.com/fwlink/?linkid=870924
Comment:
    "Capital recovery cost is the annual depreciation and interest costs for a capital investment. It is the amount of money required each year to recover the difference between the purchase prices and salvage value (unrecovered capital). It is the equivalent to the annual payment on a loan for the investment with the down payment equal to the discounted salvage value... [taking into account] the time value of money." (Duncan et al., 2019)
Reply:
    The formula for capital recovery cost (CRC) is: (Interest Rate/(1-(1+I.R.)^(-Lifespan)))*(Purchase Price + Installation Cost – Salvage Value) + Salvage Value x Interest Rate.
Reply:
    Interest rate is assumed to be 6.5% based on Niederholzer et al., 2022, but can be edited on 'Basic Data' tab as desired.</t>
      </text>
    </comment>
    <comment ref="G2" authorId="6" shapeId="0" xr:uid="{288178AF-16C1-45B8-8C72-F0872DC0B7F4}">
      <text>
        <t>[Threaded comment]
Your version of Excel allows you to read this threaded comment; however, any edits to it will get removed if the file is opened in a newer version of Excel. Learn more: https://go.microsoft.com/fwlink/?linkid=870924
Comment:
    This refers to property insurance for farm investments, providing coverage for property loss charged at 0.846% of the average value of the assets over their useful life (Niederholzer et al., 2022).
Reply:
    The formula for annual property insurance is: (0.00846*((Purchase Price + Salvage Value)/2))</t>
      </text>
    </comment>
    <comment ref="H2" authorId="7" shapeId="0" xr:uid="{C369D6E7-02F2-4965-9571-4A0F3A48C35F}">
      <text>
        <t>[Threaded comment]
Your version of Excel allows you to read this threaded comment; however, any edits to it will get removed if the file is opened in a newer version of Excel. Learn more: https://go.microsoft.com/fwlink/?linkid=870924
Comment:
    This refers to property tax which counties charge a base rate of 1% of assessed value of the property. This annual tax is included if the practice improves the property value; only included for more permanent investments (automated systems). Calculated as 1% of average value of property (Niederholzer et al., 2022).</t>
      </text>
    </comment>
    <comment ref="I2" authorId="8" shapeId="0" xr:uid="{0A92CF69-8D87-4FD8-BF4E-70368FA8B7F6}">
      <text>
        <t>[Threaded comment]
Your version of Excel allows you to read this threaded comment; however, any edits to it will get removed if the file is opened in a newer version of Excel. Learn more: https://go.microsoft.com/fwlink/?linkid=870924
Comment:
    Annual investment in repairs and services refers to annual maintenance for equipment upkeep that inevitably has to occur and/or annual service subscribed to for non-equipment related practices. Annual maintenance of equipment is assumed to be 2% of purchase price unless more accurate data is available (Duncan et al., 2019). There are added annual maintenance costs  if substantial.</t>
      </text>
    </comment>
    <comment ref="J2" authorId="9" shapeId="0" xr:uid="{536C7C59-09FA-4282-85EA-012E60D18FD6}">
      <text>
        <t>[Threaded comment]
Your version of Excel allows you to read this threaded comment; however, any edits to it will get removed if the file is opened in a newer version of Excel. Learn more: https://go.microsoft.com/fwlink/?linkid=870924
Comment:
    Maintenance labor is the time it takes to maintain any equipment involved with practice (e.g., cleaning out propeller flow meter, removing probe at end of season, changing batteries, etc). When there is no equipment invovled, maintenance is assumed to be zero. Estimated hours are based on conversation with vendors, growers, and irrigation specialists. This estimate DOES NOT include transportation time (hours to get to site) as the calculator does not have a way to properly estimate transportation costs. We assume these tasks are completed alongside normal operations.</t>
      </text>
    </comment>
    <comment ref="K2" authorId="10" shapeId="0" xr:uid="{C97F7A6A-2614-46F3-9BD8-4ED8F9718768}">
      <text>
        <t>[Threaded comment]
Your version of Excel allows you to read this threaded comment; however, any edits to it will get removed if the file is opened in a newer version of Excel. Learn more: https://go.microsoft.com/fwlink/?linkid=870924
Comment:
    Measurement frequency is the number of times in a year that a grower should be conducting this monitoring practice and is defined by the Almond Board of California's Irrigation Improvement Continuum and only occurs during the irrigation season, which is assumed to be mid-March to mid-October, which is 8 months, 30 weeks, or 210 days (see 'Basic Data' tab).</t>
      </text>
    </comment>
    <comment ref="L2" authorId="11" shapeId="0" xr:uid="{1AFAD4AF-4914-4110-B42F-A54455245B85}">
      <text>
        <t>[Threaded comment]
Your version of Excel allows you to read this threaded comment; however, any edits to it will get removed if the file is opened in a newer version of Excel. Learn more: https://go.microsoft.com/fwlink/?linkid=870924
Comment:
    Hours per measurement is the time it takes to conduct the monitoring practice (e.g., determine ETc, pressure, flow, soil moisture, and plant-water status). These estimates are based on interviews with irrigation specialists and growers. This does not include the time it takes to use this data to adjust irrigation scheduling as we assume that occurs consistently across all practices.
Reply:
    Assuming no time required at advanced levels where equipment is uploading measurements to cellular data.</t>
      </text>
    </comment>
    <comment ref="M2" authorId="12" shapeId="0" xr:uid="{7C2E5D54-6C07-4D79-B10F-785D27964955}">
      <text>
        <t>[Threaded comment]
Your version of Excel allows you to read this threaded comment; however, any edits to it will get removed if the file is opened in a newer version of Excel. Learn more: https://go.microsoft.com/fwlink/?linkid=870924
Comment:
    Operating labor is the time spent conducting the practice (e.g., taking reading off of soil moisture probes or flow meters or calculating ET). This estimate DOES NOT include transportation time (hours to get to site) as the calculator does not have a way to properly estimate transportation costs. We assume these tasks are completed alongside normal operations.
Reply:
    Calculated based on the measurement frequency and hours per measurement (Columns K * L).</t>
      </text>
    </comment>
    <comment ref="N2" authorId="13" shapeId="0" xr:uid="{FF44807E-7C8B-4312-8E68-3981F2FDE896}">
      <text>
        <t>[Threaded comment]
Your version of Excel allows you to read this threaded comment; however, any edits to it will get removed if the file is opened in a newer version of Excel. Learn more: https://go.microsoft.com/fwlink/?linkid=870924
Comment:
    Total monitoring labor cost is the sum of maintenance and operating labor hours multiplied by the default wage rate (see 'Basic Data' tab). This is a way to estimate the economic cost of maintaining and operating any equipment involved or solely the operational time it takes a grower to take the measurement involved in the monitoring practice.</t>
      </text>
    </comment>
    <comment ref="I5" authorId="14" shapeId="0" xr:uid="{3B9EF44A-316C-4DE7-87E6-C69F6F7A3D34}">
      <text>
        <t>[Threaded comment]
Your version of Excel allows you to read this threaded comment; however, any edits to it will get removed if the file is opened in a newer version of Excel. Learn more: https://go.microsoft.com/fwlink/?linkid=870924
Comment:
    Annual subscription for weekly email with current and forecasted ETc</t>
      </text>
    </comment>
    <comment ref="L5" authorId="15" shapeId="0" xr:uid="{A873AD00-A6CB-4F2F-A669-A7E3F2859BF5}">
      <text>
        <t>[Threaded comment]
Your version of Excel allows you to read this threaded comment; however, any edits to it will get removed if the file is opened in a newer version of Excel. Learn more: https://go.microsoft.com/fwlink/?linkid=870924
Comment:
    Assuming paying a service to share this data via email (not calculating themselves)</t>
      </text>
    </comment>
    <comment ref="I6" authorId="16" shapeId="0" xr:uid="{B4821502-C9E1-F94F-B09E-776C6C9BD583}">
      <text>
        <t>[Threaded comment]
Your version of Excel allows you to read this threaded comment; however, any edits to it will get removed if the file is opened in a newer version of Excel. Learn more: https://go.microsoft.com/fwlink/?linkid=870924
Comment:
    Assume 2% of purchase price for annual repairs/maint. because it is so variable how often have to replace battery, type of battery, mechanical parts replacements, etc; added $600/year for cellular data &amp; API, which includes data logging and analysis, based on market value estimates from vendors.</t>
      </text>
    </comment>
    <comment ref="J6" authorId="17" shapeId="0" xr:uid="{BD4B6CC6-367C-1F48-BE53-B250AAF1DB96}">
      <text>
        <t>[Threaded comment]
Your version of Excel allows you to read this threaded comment; however, any edits to it will get removed if the file is opened in a newer version of Excel. Learn more: https://go.microsoft.com/fwlink/?linkid=870924
Comment:
    Assume 0.5 hour/month for checking for physical damage.</t>
      </text>
    </comment>
    <comment ref="P6" authorId="18" shapeId="0" xr:uid="{15090992-44FD-423E-9A2C-CEB4BD2E0B32}">
      <text>
        <t>[Threaded comment]
Your version of Excel allows you to read this threaded comment; however, any edits to it will get removed if the file is opened in a newer version of Excel. Learn more: https://go.microsoft.com/fwlink/?linkid=870924
Comment:
    Includes data logger ($995), hardware activation fee ($35), and mounting kit ($175)</t>
      </text>
    </comment>
    <comment ref="Q6" authorId="19" shapeId="0" xr:uid="{E8FA6D33-34E5-4D56-B315-1C11AD531FA8}">
      <text>
        <t>[Threaded comment]
Your version of Excel allows you to read this threaded comment; however, any edits to it will get removed if the file is opened in a newer version of Excel. Learn more: https://go.microsoft.com/fwlink/?linkid=870924
Comment:
    Includes data logger ($995), hardware activation fee ($35), and mounting kit ($175)</t>
      </text>
    </comment>
    <comment ref="B7" authorId="20" shapeId="0" xr:uid="{3945973F-A04E-4B10-B059-A8D1D65646FB}">
      <text>
        <t>[Threaded comment]
Your version of Excel allows you to read this threaded comment; however, any edits to it will get removed if the file is opened in a newer version of Excel. Learn more: https://go.microsoft.com/fwlink/?linkid=870924
Comment:
    No price included because this practice does not involve owning the associated equipment, but leasing it. The cost of this service is included as an "Annual Investment Repairs &amp; Services" because it is an annual fee.</t>
      </text>
    </comment>
    <comment ref="I7" authorId="21" shapeId="0" xr:uid="{0DD87C02-89D7-E645-A893-288DFA896223}">
      <text>
        <t>[Threaded comment]
Your version of Excel allows you to read this threaded comment; however, any edits to it will get removed if the file is opened in a newer version of Excel. Learn more: https://go.microsoft.com/fwlink/?linkid=870924
Comment:
    Based on market value estimate from vendors plus 7.25% California sales tax; this service includes repairs, software updates, maintenance, data logging and analysis, etc.</t>
      </text>
    </comment>
    <comment ref="B10" authorId="22" shapeId="0" xr:uid="{2FEE4AE0-657E-4117-AFA0-40DD5CB14028}">
      <text>
        <t>[Threaded comment]
Your version of Excel allows you to read this threaded comment; however, any edits to it will get removed if the file is opened in a newer version of Excel. Learn more: https://go.microsoft.com/fwlink/?linkid=870924
Comment:
    Market value for handheld pressure gauge with pitot tube</t>
      </text>
    </comment>
    <comment ref="I10" authorId="23" shapeId="0" xr:uid="{6B23AE6D-5BF0-624B-9D5F-0998517A6F87}">
      <text>
        <t>[Threaded comment]
Your version of Excel allows you to read this threaded comment; however, any edits to it will get removed if the file is opened in a newer version of Excel. Learn more: https://go.microsoft.com/fwlink/?linkid=870924
Comment:
    Assume replacing the pressure gauge with pitot tube in the year conducting spot check (Purchase Price divided by 3 years); User could decide to add a $96 annual investment repair estimate from  UC Davis Sample Costs to Produce Almonds budget for the entire irrigation system because a DU test will expose areas of equipment repair/maint/replacement needed, such as new sprinkler heads, etc. (Duncan et al., 2019)</t>
      </text>
    </comment>
    <comment ref="L10" authorId="24" shapeId="0" xr:uid="{AAD55DC9-9260-48AB-BB9F-D82DDE04A4B4}">
      <text>
        <t>[Threaded comment]
Your version of Excel allows you to read this threaded comment; however, any edits to it will get removed if the file is opened in a newer version of Excel. Learn more: https://go.microsoft.com/fwlink/?linkid=870924
Comment:
    Based on estimate from irrigation specialists and growers.</t>
      </text>
    </comment>
    <comment ref="B11" authorId="25" shapeId="0" xr:uid="{86CC3159-C565-4BC8-B1DB-39470D47A737}">
      <text>
        <t>[Threaded comment]
Your version of Excel allows you to read this threaded comment; however, any edits to it will get removed if the file is opened in a newer version of Excel. Learn more: https://go.microsoft.com/fwlink/?linkid=870924
Comment:
    Market value for irrigation system consultant to conduct distribution uniformity test. However, it is important to note that California is heavily investing in RCDs to increase their capacity to conduct free distribution uniformity tests for growers in their region.</t>
      </text>
    </comment>
    <comment ref="D11" authorId="26" shapeId="0" xr:uid="{1EBBE7FC-E77F-4E98-9A73-31401CB45469}">
      <text>
        <t>[Threaded comment]
Your version of Excel allows you to read this threaded comment; however, any edits to it will get removed if the file is opened in a newer version of Excel. Learn more: https://go.microsoft.com/fwlink/?linkid=870924
Comment:
    Input 3 for adjusted calculation in CRC column.</t>
      </text>
    </comment>
    <comment ref="I11" authorId="27" shapeId="0" xr:uid="{BED804C9-849C-4DAB-9239-F326CFD1BADA}">
      <text>
        <t>[Threaded comment]
Your version of Excel allows you to read this threaded comment; however, any edits to it will get removed if the file is opened in a newer version of Excel. Learn more: https://go.microsoft.com/fwlink/?linkid=870924
Comment:
    User could decide to add a $96 annual investment repair estimate from  UC Davis Sample Costs to Produce Almonds budget for the entire irrigation system because a DU test will expose areas of equipment repair/maint/ replacement needed, such as new sprinkler heads, etc. (Duncan et al., 2019)</t>
      </text>
    </comment>
    <comment ref="B12" authorId="28" shapeId="0" xr:uid="{E28C957A-E29F-4DF1-BEED-9CB23D2EA532}">
      <text>
        <t>[Threaded comment]
Your version of Excel allows you to read this threaded comment; however, any edits to it will get removed if the file is opened in a newer version of Excel. Learn more: https://go.microsoft.com/fwlink/?linkid=870924
Comment:
    Market value for irrigation system consultant to conduct distribution uniformity test. However, it is important to note that California is heavily investing in RCDs to increase their capacity to conduct free distribution uniformity tests for growers in their region.</t>
      </text>
    </comment>
    <comment ref="D12" authorId="29" shapeId="0" xr:uid="{A8E8016E-7467-4BD5-8029-2D37B8BE4B33}">
      <text>
        <t>[Threaded comment]
Your version of Excel allows you to read this threaded comment; however, any edits to it will get removed if the file is opened in a newer version of Excel. Learn more: https://go.microsoft.com/fwlink/?linkid=870924
Comment:
    Input 2 for adjusted calculation in CRC column.</t>
      </text>
    </comment>
    <comment ref="I12" authorId="30" shapeId="0" xr:uid="{AFAD0687-FA10-B245-837A-D0811452C4C8}">
      <text>
        <t>[Threaded comment]
Your version of Excel allows you to read this threaded comment; however, any edits to it will get removed if the file is opened in a newer version of Excel. Learn more: https://go.microsoft.com/fwlink/?linkid=870924
Comment:
    User could decide to add a $96 annual investment repair estimate from  UC Davis Sample Costs to Produce Almonds budget for the entire irrigation system because a DU test will expose areas of equipment repair/maint/ replacement needed, such as new sprinkler heads, etc. (Duncan et al., 2019)</t>
      </text>
    </comment>
    <comment ref="K15" authorId="31" shapeId="0" xr:uid="{6675C365-7A49-4668-8E2F-CAF5A7E58C0B}">
      <text>
        <t>[Threaded comment]
Your version of Excel allows you to read this threaded comment; however, any edits to it will get removed if the file is opened in a newer version of Excel. Learn more: https://go.microsoft.com/fwlink/?linkid=870924
Comment:
    As a fundamental practice, irrigation specialists guess growers do this just 1-3 times a year</t>
      </text>
    </comment>
    <comment ref="C16" authorId="32" shapeId="0" xr:uid="{B4E28A5E-9959-4EEB-BF3B-E8ACE6AA1960}">
      <text>
        <t>[Threaded comment]
Your version of Excel allows you to read this threaded comment; however, any edits to it will get removed if the file is opened in a newer version of Excel. Learn more: https://go.microsoft.com/fwlink/?linkid=870924
Comment:
    Assuming 4 hours of labor for this installation according to irrigation installers</t>
      </text>
    </comment>
    <comment ref="I16" authorId="33" shapeId="0" xr:uid="{F6B99F90-95CD-4775-8727-88C30B0E4E8D}">
      <text>
        <t>[Threaded comment]
Your version of Excel allows you to read this threaded comment; however, any edits to it will get removed if the file is opened in a newer version of Excel. Learn more: https://go.microsoft.com/fwlink/?linkid=870924
Comment:
    Assume 2% of purchase price plus market value for special lithium-ion batteries replacement every 3 years</t>
      </text>
    </comment>
    <comment ref="J16" authorId="34" shapeId="0" xr:uid="{8F789E0E-DFA2-49FD-BBDF-853867CDB0A0}">
      <text>
        <t>[Threaded comment]
Your version of Excel allows you to read this threaded comment; however, any edits to it will get removed if the file is opened in a newer version of Excel. Learn more: https://go.microsoft.com/fwlink/?linkid=870924
Comment:
    We assume 0.5 hours for changing out battery every 3 years so 0.167 hrs/yr, and 4 hours/year removing debris from propeller</t>
      </text>
    </comment>
    <comment ref="L16" authorId="35" shapeId="0" xr:uid="{6EF239E0-2922-40DA-92E5-3BD57728C605}">
      <text>
        <t>[Threaded comment]
Your version of Excel allows you to read this threaded comment; however, any edits to it will get removed if the file is opened in a newer version of Excel. Learn more: https://go.microsoft.com/fwlink/?linkid=870924
Comment:
    Assuming only 5 minutes to look and write down reading.</t>
      </text>
    </comment>
    <comment ref="C17" authorId="36" shapeId="0" xr:uid="{08BC6448-77BC-9645-99BB-BD84C47CD60A}">
      <text>
        <t>[Threaded comment]
Your version of Excel allows you to read this threaded comment; however, any edits to it will get removed if the file is opened in a newer version of Excel. Learn more: https://go.microsoft.com/fwlink/?linkid=870924
Comment:
    Assuming 4 hours of labor for this installation according to irrigation installers</t>
      </text>
    </comment>
    <comment ref="I17" authorId="37" shapeId="0" xr:uid="{3C4100B3-63D0-4F2E-A77E-AF6035196DA4}">
      <text>
        <t>[Threaded comment]
Your version of Excel allows you to read this threaded comment; however, any edits to it will get removed if the file is opened in a newer version of Excel. Learn more: https://go.microsoft.com/fwlink/?linkid=870924
Comment:
    Assume 2% of purchase price plus market value for special lithium-ion batteries replacement every 3 years</t>
      </text>
    </comment>
    <comment ref="J17" authorId="38" shapeId="0" xr:uid="{70668947-14D3-4046-865D-138A7F66AC95}">
      <text>
        <t>[Threaded comment]
Your version of Excel allows you to read this threaded comment; however, any edits to it will get removed if the file is opened in a newer version of Excel. Learn more: https://go.microsoft.com/fwlink/?linkid=870924
Comment:
    We assume 0.5 hours for changing out battery every 3 years, so 0.167 hrs/yr, otherwise no maintenance</t>
      </text>
    </comment>
    <comment ref="L17" authorId="39" shapeId="0" xr:uid="{38FF004F-7B61-4E88-9BA1-963DCB88E9C8}">
      <text>
        <t>[Threaded comment]
Your version of Excel allows you to read this threaded comment; however, any edits to it will get removed if the file is opened in a newer version of Excel. Learn more: https://go.microsoft.com/fwlink/?linkid=870924
Comment:
    Assuming only 5 minutes to look and write down reading.</t>
      </text>
    </comment>
    <comment ref="C18" authorId="40" shapeId="0" xr:uid="{BAEC7F5E-A313-A843-82B3-32B1AB627FFB}">
      <text>
        <t>[Threaded comment]
Your version of Excel allows you to read this threaded comment; however, any edits to it will get removed if the file is opened in a newer version of Excel. Learn more: https://go.microsoft.com/fwlink/?linkid=870924
Comment:
    Assuming 8 hours of labor according to irrigation installers - more time involved when also setting up telemetry</t>
      </text>
    </comment>
    <comment ref="I18" authorId="41" shapeId="0" xr:uid="{F7639B22-0768-44F4-879A-8262C1D695E6}">
      <text>
        <t>[Threaded comment]
Your version of Excel allows you to read this threaded comment; however, any edits to it will get removed if the file is opened in a newer version of Excel. Learn more: https://go.microsoft.com/fwlink/?linkid=870924
Comment:
    Assumed 2% of purchase price for annual repairs, plus a $300/year for cellular which includes data logging and analysis, and $175 for special lithium battery replacement every 3 years (based on vendor estimates).</t>
      </text>
    </comment>
    <comment ref="J18" authorId="42" shapeId="0" xr:uid="{EA9F71B2-5DEF-4DB7-9542-29128C9BCCD0}">
      <text>
        <t>[Threaded comment]
Your version of Excel allows you to read this threaded comment; however, any edits to it will get removed if the file is opened in a newer version of Excel. Learn more: https://go.microsoft.com/fwlink/?linkid=870924
Comment:
    We assume 0.5 hours for changing out battery every 3 years so 0.167 hrs/yr, and 4 hours/year removing debris from propeller</t>
      </text>
    </comment>
    <comment ref="C19" authorId="43" shapeId="0" xr:uid="{9CFD5F70-BED4-CA41-97FB-7BA5768D5833}">
      <text>
        <t>[Threaded comment]
Your version of Excel allows you to read this threaded comment; however, any edits to it will get removed if the file is opened in a newer version of Excel. Learn more: https://go.microsoft.com/fwlink/?linkid=870924
Comment:
    Assuming 8 hours of labor according to irrigation installers - more time involved when also setting up telemetry</t>
      </text>
    </comment>
    <comment ref="I19" authorId="44" shapeId="0" xr:uid="{4292BF6F-C004-4195-AA6D-E0CF64D81837}">
      <text>
        <t>[Threaded comment]
Your version of Excel allows you to read this threaded comment; however, any edits to it will get removed if the file is opened in a newer version of Excel. Learn more: https://go.microsoft.com/fwlink/?linkid=870924
Comment:
    Assumed 2% of purchase price for annual repairs, plus a $300/year for cellular which includes data logging and analysis, and $175 for special lithium battery replacement every 3 years (based on vendor estimates).</t>
      </text>
    </comment>
    <comment ref="J19" authorId="45" shapeId="0" xr:uid="{DAB55FD2-229B-41A4-B4EE-3F6EBEF09DEB}">
      <text>
        <t>[Threaded comment]
Your version of Excel allows you to read this threaded comment; however, any edits to it will get removed if the file is opened in a newer version of Excel. Learn more: https://go.microsoft.com/fwlink/?linkid=870924
Comment:
    Assume 0.5 hours for changing out battery every 3 years, so 0.167 hrs/yr, otherwise no maintenance</t>
      </text>
    </comment>
    <comment ref="I22" authorId="46" shapeId="0" xr:uid="{D6F7EE4F-0829-4E65-86F5-B18340216394}">
      <text>
        <t>[Threaded comment]
Your version of Excel allows you to read this threaded comment; however, any edits to it will get removed if the file is opened in a newer version of Excel. Learn more: https://go.microsoft.com/fwlink/?linkid=870924
Comment:
    Assume 2% of purchase price, plus assume need for two replacement dutch augers ($200 average market value) over 25 year lifespan, assuming only need to replace twice.</t>
      </text>
    </comment>
    <comment ref="C23" authorId="47" shapeId="0" xr:uid="{F954B8B1-1F4F-425D-BF1D-1B940437BD06}">
      <text>
        <t>[Threaded comment]
Your version of Excel allows you to read this threaded comment; however, any edits to it will get removed if the file is opened in a newer version of Excel. Learn more: https://go.microsoft.com/fwlink/?linkid=870924
Comment:
    Assuming 2 hours to install; involves soaking the probe overnight and 20 minutes per sensor to install; no transportation time or cost included.</t>
      </text>
    </comment>
    <comment ref="I23" authorId="48" shapeId="0" xr:uid="{863A11DA-0BC7-4F2A-AF9A-C8462D9EC770}">
      <text>
        <t>[Threaded comment]
Your version of Excel allows you to read this threaded comment; however, any edits to it will get removed if the file is opened in a newer version of Excel. Learn more: https://go.microsoft.com/fwlink/?linkid=870924
Comment:
    Assume 2% of purchase price, plus $31 gauge replacement once in lifespan, $70 liquid &amp; pump every other year so 5 times in 10yr lifespan, and $15 new ceramic tip every 3 years so 3 times in 10yr lifespan</t>
      </text>
    </comment>
    <comment ref="J23" authorId="49" shapeId="0" xr:uid="{1725EFA4-B514-4086-BD2C-79C1B80F11B7}">
      <text>
        <t>[Threaded comment]
Your version of Excel allows you to read this threaded comment; however, any edits to it will get removed if the file is opened in a newer version of Excel. Learn more: https://go.microsoft.com/fwlink/?linkid=870924
Comment:
    We assume 1 hour/month of maintenance activities for a soil probe station (3 sensors at various depths) based on vendor interviews. This involves checking the probes for any physical damage, repairing any damages, refilling liquid for tensiometers, and removing all probes from ground at end of the season.</t>
      </text>
    </comment>
    <comment ref="L23" authorId="50" shapeId="0" xr:uid="{97484C4C-DF4B-459E-A12C-C3D4BDBECD77}">
      <text>
        <t>[Threaded comment]
Your version of Excel allows you to read this threaded comment; however, any edits to it will get removed if the file is opened in a newer version of Excel. Learn more: https://go.microsoft.com/fwlink/?linkid=870924
Comment:
    We assume it takes 15 minutes to read and write down measurements from 3 soil sensors.</t>
      </text>
    </comment>
    <comment ref="C24" authorId="51" shapeId="0" xr:uid="{92DD55B0-BA2D-4931-9585-68D0271534DB}">
      <text>
        <t>[Threaded comment]
Your version of Excel allows you to read this threaded comment; however, any edits to it will get removed if the file is opened in a newer version of Excel. Learn more: https://go.microsoft.com/fwlink/?linkid=870924
Comment:
    Assuming 20 minutes/sensor to install (no soaking of tips necessary like tensiometers); no transportation time or cost included.</t>
      </text>
    </comment>
    <comment ref="I24" authorId="52" shapeId="0" xr:uid="{50815054-40F5-43BC-81D1-5577EB9924AB}">
      <text>
        <t>[Threaded comment]
Your version of Excel allows you to read this threaded comment; however, any edits to it will get removed if the file is opened in a newer version of Excel. Learn more: https://go.microsoft.com/fwlink/?linkid=870924
Comment:
    Assume 2% of purchase price</t>
      </text>
    </comment>
    <comment ref="J24" authorId="53" shapeId="0" xr:uid="{33B505D9-C122-417B-8A62-7CB0610408BC}">
      <text>
        <t>[Threaded comment]
Your version of Excel allows you to read this threaded comment; however, any edits to it will get removed if the file is opened in a newer version of Excel. Learn more: https://go.microsoft.com/fwlink/?linkid=870924
Comment:
    We assume 1 hour/month of maintenance activities for a soil probe station (3 sensors at various depths) based on vendor interviews. This involves checking the probes for any physical damage, repairing any damages, refilling liquid for tensiometers, and removing all probes from ground at end of the season.</t>
      </text>
    </comment>
    <comment ref="I25" authorId="54" shapeId="0" xr:uid="{0397A3F8-BA4B-49AD-8AF2-7A9914126501}">
      <text>
        <t>[Threaded comment]
Your version of Excel allows you to read this threaded comment; however, any edits to it will get removed if the file is opened in a newer version of Excel. Learn more: https://go.microsoft.com/fwlink/?linkid=870924
Comment:
    Assumed 2% of purchase price to cover battery &amp; cable replacements for example, then added $300/year for annual cellular data which includes data logging and analysis.</t>
      </text>
    </comment>
    <comment ref="J25" authorId="55" shapeId="0" xr:uid="{A8C6BA2C-727D-477A-8D5B-AD9274753024}">
      <text>
        <t>[Threaded comment]
Your version of Excel allows you to read this threaded comment; however, any edits to it will get removed if the file is opened in a newer version of Excel. Learn more: https://go.microsoft.com/fwlink/?linkid=870924
Comment:
    We assume 1 hour/month of maintenance activities for a soil probe station (3 sensors at various depths) based on vendor interviews. This involves checking the probes for any physical damage, repairing any damages, refilling liquid for tensiometers, and removing all probes from ground at end of the season.
Reply:
    No additional maintenance for telemetry aspect of this practice as that is capture in the annual investment repairs &amp; services value.</t>
      </text>
    </comment>
    <comment ref="D29" authorId="56" shapeId="0" xr:uid="{D7997A0C-A5B0-4A3B-B662-749F6BAD5E29}">
      <text>
        <t>[Threaded comment]
Your version of Excel allows you to read this threaded comment; however, any edits to it will get removed if the file is opened in a newer version of Excel. Learn more: https://go.microsoft.com/fwlink/?linkid=870924
Comment:
    Determined by Niederholzer et al. (2022) 2022 Sample Costs to Establish an Orchard and Produce Prunes. UC Davis Dept. of Ag and Resource Economics.</t>
      </text>
    </comment>
    <comment ref="I29" authorId="57" shapeId="0" xr:uid="{1B74A85E-939B-47D9-A2B6-875347FE4B5D}">
      <text>
        <t>[Threaded comment]
Your version of Excel allows you to read this threaded comment; however, any edits to it will get removed if the file is opened in a newer version of Excel. Learn more: https://go.microsoft.com/fwlink/?linkid=870924
Comment:
    Assumes the 2% of purchase price for annual repair needs, plus $110 every 2 years for vendor maintenance service.</t>
      </text>
    </comment>
    <comment ref="B30" authorId="58" shapeId="0" xr:uid="{992B7D2A-3CA7-43A6-A802-89A51F764FB9}">
      <text>
        <t>[Threaded comment]
Your version of Excel allows you to read this threaded comment; however, any edits to it will get removed if the file is opened in a newer version of Excel. Learn more: https://go.microsoft.com/fwlink/?linkid=870924
Comment:
    No price included because practice does not involve owning the associated equipment, but leasing it. The cost of this service is included as an "Annual Investment Repairs &amp; Services" because it is an annual fee.</t>
      </text>
    </comment>
    <comment ref="I30" authorId="59" shapeId="0" xr:uid="{0CF4CD07-6953-4820-8BCD-F632A9A07978}">
      <text>
        <t>[Threaded comment]
Your version of Excel allows you to read this threaded comment; however, any edits to it will get removed if the file is opened in a newer version of Excel. Learn more: https://go.microsoft.com/fwlink/?linkid=870924
Comment:
    Based on market value estimate from vendors plus 7.25% California sales tax; this service includes repairs, software updates, maintenance, data logging and analysis, etc.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<sst xmlns="http://schemas.openxmlformats.org/spreadsheetml/2006/main" count="222" uniqueCount="201">
  <si>
    <t>Advanced Irrigation Cost Calculator for California Orchards (Version 1.0)</t>
  </si>
  <si>
    <t>©2023 American Farmland Trust</t>
  </si>
  <si>
    <t>Last Update: April 28, 2023; Price Year: 2023</t>
  </si>
  <si>
    <t xml:space="preserve">For questions and assistance, contact: fieldoutreach@almondboard.com </t>
  </si>
  <si>
    <t>Purpose:</t>
  </si>
  <si>
    <t>To provide a rough estimate for the annual economic cost of various irrigation management strategies that improve irrigation efficiency to help guide grower decision-making. Economic cost estimates are based on the equipment and number of measurements advised for one 40-acre irrigation block under the same soil type and irrigation system.</t>
  </si>
  <si>
    <t>Background:</t>
  </si>
  <si>
    <r>
      <t xml:space="preserve">In 2017, the Almond Board of California (ABC) published the </t>
    </r>
    <r>
      <rPr>
        <i/>
        <sz val="11"/>
        <rFont val="Calibri"/>
        <family val="2"/>
        <scheme val="minor"/>
      </rPr>
      <t xml:space="preserve">Almond Irrigation Improvement Continuum, </t>
    </r>
    <r>
      <rPr>
        <sz val="11"/>
        <rFont val="Calibri"/>
        <family val="2"/>
        <scheme val="minor"/>
      </rPr>
      <t>a comprehensive manual of orchard irrigation management practices. The</t>
    </r>
    <r>
      <rPr>
        <i/>
        <sz val="11"/>
        <rFont val="Calibri"/>
        <family val="2"/>
        <scheme val="minor"/>
      </rPr>
      <t xml:space="preserve"> Continuum</t>
    </r>
    <r>
      <rPr>
        <sz val="11"/>
        <rFont val="Calibri"/>
        <family val="2"/>
        <scheme val="minor"/>
      </rPr>
      <t xml:space="preserve"> covers</t>
    </r>
    <r>
      <rPr>
        <b/>
        <sz val="11"/>
        <rFont val="Calibri"/>
        <family val="2"/>
        <scheme val="minor"/>
      </rPr>
      <t xml:space="preserve"> five irrigation management categories:
     (1) orchard water requirements (aka evapotranspiration monitoring), 
     (2) irrigation system performance monitoring, 
     (3) applied water monitoring, 
     (4) soil moisture monitoring, and 
     (5) plant-water status monitoring.</t>
    </r>
    <r>
      <rPr>
        <sz val="11"/>
        <rFont val="Calibri"/>
        <family val="2"/>
        <scheme val="minor"/>
      </rPr>
      <t xml:space="preserve"> 
For each management category, there are</t>
    </r>
    <r>
      <rPr>
        <b/>
        <sz val="11"/>
        <rFont val="Calibri"/>
        <family val="2"/>
        <scheme val="minor"/>
      </rPr>
      <t xml:space="preserve"> fundamental, intermediate, and advanced management levels (1-3, respectively). </t>
    </r>
    <r>
      <rPr>
        <sz val="11"/>
        <rFont val="Calibri"/>
        <family val="2"/>
        <scheme val="minor"/>
      </rPr>
      <t xml:space="preserve">Learn more about each irrigation management practice by level and category on the </t>
    </r>
    <r>
      <rPr>
        <b/>
        <sz val="11"/>
        <rFont val="Calibri"/>
        <family val="2"/>
        <scheme val="minor"/>
      </rPr>
      <t xml:space="preserve">"Practices" tab.
</t>
    </r>
    <r>
      <rPr>
        <sz val="11"/>
        <rFont val="Calibri"/>
        <family val="2"/>
        <scheme val="minor"/>
      </rPr>
      <t xml:space="preserve">     
     This calculator estimates the economic cost of each irrigation management practice based on these variables where applicable: purchase price, 2% California sales tax, installation cost, equipment lifespan, salvage value, annual investment repairs, property taxes (1% of average value) &amp; insurance (0.846% of average value), 6.50% interest, and maintenance &amp; operation labor time and hourly rate.  Economic cost estimates are for one 40-acre irrigation block under the same soil type and irrigation system. </t>
    </r>
    <r>
      <rPr>
        <b/>
        <sz val="11"/>
        <rFont val="Calibri"/>
        <family val="2"/>
        <scheme val="minor"/>
      </rPr>
      <t xml:space="preserve">Economic benefits are not included at this time </t>
    </r>
    <r>
      <rPr>
        <sz val="11"/>
        <rFont val="Calibri"/>
        <family val="2"/>
        <scheme val="minor"/>
      </rPr>
      <t>(e.g., yield and/or crop quality improvements, fertigation &amp; energy cost savings, reduced insect pressure, etc)</t>
    </r>
    <r>
      <rPr>
        <b/>
        <sz val="11"/>
        <rFont val="Calibri"/>
        <family val="2"/>
        <scheme val="minor"/>
      </rPr>
      <t>.</t>
    </r>
    <r>
      <rPr>
        <sz val="11"/>
        <rFont val="Calibri"/>
        <family val="2"/>
        <scheme val="minor"/>
      </rPr>
      <t xml:space="preserve"> </t>
    </r>
    <r>
      <rPr>
        <b/>
        <sz val="11"/>
        <rFont val="Calibri"/>
        <family val="2"/>
        <scheme val="minor"/>
      </rPr>
      <t>We encourage users to consider the measurement frequency and labor hours expended reported in the Output Data table, and not just $/yr.</t>
    </r>
  </si>
  <si>
    <t>Instructions:</t>
  </si>
  <si>
    <t>1. Review the "Practices Tab" in detail to determine what management category and level you want to analyze.</t>
  </si>
  <si>
    <r>
      <rPr>
        <b/>
        <sz val="11"/>
        <rFont val="Calibri"/>
        <family val="2"/>
        <scheme val="minor"/>
      </rPr>
      <t>2. Input Data -</t>
    </r>
    <r>
      <rPr>
        <sz val="11"/>
        <rFont val="Calibri"/>
        <family val="2"/>
        <scheme val="minor"/>
      </rPr>
      <t xml:space="preserve"> Select 1 or 2 irrigation management </t>
    </r>
    <r>
      <rPr>
        <b/>
        <sz val="11"/>
        <rFont val="Calibri"/>
        <family val="2"/>
        <scheme val="minor"/>
      </rPr>
      <t xml:space="preserve">categories </t>
    </r>
    <r>
      <rPr>
        <sz val="11"/>
        <rFont val="Calibri"/>
        <family val="2"/>
        <scheme val="minor"/>
      </rPr>
      <t>using the first dropdown menu.</t>
    </r>
  </si>
  <si>
    <r>
      <rPr>
        <b/>
        <sz val="11"/>
        <rFont val="Calibri"/>
        <family val="2"/>
        <scheme val="minor"/>
      </rPr>
      <t>3.</t>
    </r>
    <r>
      <rPr>
        <sz val="11"/>
        <rFont val="Calibri"/>
        <family val="2"/>
        <scheme val="minor"/>
      </rPr>
      <t xml:space="preserve"> </t>
    </r>
    <r>
      <rPr>
        <b/>
        <sz val="11"/>
        <rFont val="Calibri"/>
        <family val="2"/>
        <scheme val="minor"/>
      </rPr>
      <t xml:space="preserve">Input Data - </t>
    </r>
    <r>
      <rPr>
        <sz val="11"/>
        <rFont val="Calibri"/>
        <family val="2"/>
        <scheme val="minor"/>
      </rPr>
      <t xml:space="preserve">Select 1 or 2 irrigation management </t>
    </r>
    <r>
      <rPr>
        <b/>
        <sz val="11"/>
        <rFont val="Calibri"/>
        <family val="2"/>
        <scheme val="minor"/>
      </rPr>
      <t>levels</t>
    </r>
    <r>
      <rPr>
        <sz val="11"/>
        <rFont val="Calibri"/>
        <family val="2"/>
        <scheme val="minor"/>
      </rPr>
      <t xml:space="preserve"> using the second dropdown menu </t>
    </r>
    <r>
      <rPr>
        <b/>
        <sz val="11"/>
        <rFont val="Calibri"/>
        <family val="2"/>
        <scheme val="minor"/>
      </rPr>
      <t>based on your category selection above.</t>
    </r>
  </si>
  <si>
    <r>
      <rPr>
        <b/>
        <sz val="11"/>
        <rFont val="Calibri"/>
        <family val="2"/>
        <scheme val="minor"/>
      </rPr>
      <t>4. View Output Data</t>
    </r>
    <r>
      <rPr>
        <sz val="11"/>
        <rFont val="Calibri"/>
        <family val="2"/>
        <scheme val="minor"/>
      </rPr>
      <t xml:space="preserve"> - View the results in section titled "Output Data" below, paying attention to green-highlighted rows.</t>
    </r>
  </si>
  <si>
    <r>
      <rPr>
        <b/>
        <i/>
        <sz val="9"/>
        <rFont val="Calibri"/>
        <family val="2"/>
        <scheme val="minor"/>
      </rPr>
      <t xml:space="preserve">Optional: </t>
    </r>
    <r>
      <rPr>
        <i/>
        <sz val="9"/>
        <rFont val="Calibri"/>
        <family val="2"/>
        <scheme val="minor"/>
      </rPr>
      <t>You have the option to override default values for purchase &amp; installation price, equipment lifespan, labor hours, and wage rate in yellow-shaded cells.</t>
    </r>
  </si>
  <si>
    <r>
      <rPr>
        <b/>
        <i/>
        <sz val="9"/>
        <rFont val="Calibri"/>
        <family val="2"/>
        <scheme val="minor"/>
      </rPr>
      <t xml:space="preserve">Optional: </t>
    </r>
    <r>
      <rPr>
        <i/>
        <sz val="9"/>
        <rFont val="Calibri"/>
        <family val="2"/>
        <scheme val="minor"/>
      </rPr>
      <t>To print your results, select File &gt; Print and make sure you've selected "Fit Sheet on One Page". To edit the 'Print Area', select Page Layout &gt; Print Tiles then edit Print Area.</t>
    </r>
  </si>
  <si>
    <t>Tips:</t>
  </si>
  <si>
    <t>Yellow-shaded cells indicate where you can input your own values to override default values.</t>
  </si>
  <si>
    <t>Place the cursor over cells with colored-corner triangle to read comments.</t>
  </si>
  <si>
    <t>You can find definitions, assumptions, references, and equations used in this analysis on the "Economic Cost Data" tab.</t>
  </si>
  <si>
    <r>
      <rPr>
        <b/>
        <i/>
        <sz val="9"/>
        <color theme="1"/>
        <rFont val="Calibri"/>
        <family val="2"/>
        <scheme val="minor"/>
      </rPr>
      <t>Note:</t>
    </r>
    <r>
      <rPr>
        <i/>
        <sz val="9"/>
        <color theme="1"/>
        <rFont val="Calibri"/>
        <family val="2"/>
        <scheme val="minor"/>
      </rPr>
      <t xml:space="preserve"> The tool uses the market value for a distribution uniformity test, but your local RCD will do this for free.</t>
    </r>
  </si>
  <si>
    <t>Input Data</t>
  </si>
  <si>
    <t>Irrigation Mgmt. Selection 1:</t>
  </si>
  <si>
    <t>Irrigation Mgmt. Selection 2:</t>
  </si>
  <si>
    <t xml:space="preserve">Select Irrigation Management Category: </t>
  </si>
  <si>
    <t xml:space="preserve">Select Management Level: </t>
  </si>
  <si>
    <r>
      <t xml:space="preserve">Purchase + Installation Price ($) </t>
    </r>
    <r>
      <rPr>
        <b/>
        <vertAlign val="superscript"/>
        <sz val="11"/>
        <rFont val="Calibri"/>
        <family val="2"/>
        <scheme val="minor"/>
      </rPr>
      <t>1</t>
    </r>
  </si>
  <si>
    <t>OPTIONAL - User Price ($)</t>
  </si>
  <si>
    <r>
      <t xml:space="preserve">Lifespan (years) </t>
    </r>
    <r>
      <rPr>
        <b/>
        <vertAlign val="superscript"/>
        <sz val="11"/>
        <rFont val="Calibri"/>
        <family val="2"/>
        <scheme val="minor"/>
      </rPr>
      <t>1</t>
    </r>
  </si>
  <si>
    <t>OPTIONAL - User Lifespan (years)</t>
  </si>
  <si>
    <r>
      <t xml:space="preserve">Maintenance &amp; Operating Labor (hrs/yr) </t>
    </r>
    <r>
      <rPr>
        <b/>
        <vertAlign val="superscript"/>
        <sz val="11"/>
        <rFont val="Calibri"/>
        <family val="2"/>
        <scheme val="minor"/>
      </rPr>
      <t>1</t>
    </r>
  </si>
  <si>
    <t>OPTIONAL - User Estimated Labor (hrs/yr)</t>
  </si>
  <si>
    <r>
      <t xml:space="preserve">California Hourly Wage Rate ($/hr) </t>
    </r>
    <r>
      <rPr>
        <b/>
        <vertAlign val="superscript"/>
        <sz val="11"/>
        <rFont val="Calibri"/>
        <family val="2"/>
        <scheme val="minor"/>
      </rPr>
      <t>2a,b</t>
    </r>
  </si>
  <si>
    <t>OPTIONAL - User-entered Hourly Wage Rate ($/hr)</t>
  </si>
  <si>
    <t>Output Data</t>
  </si>
  <si>
    <t>Ownership &amp; Operating Cost Esimates* for Selected Irrigation Practices (2023 values)</t>
  </si>
  <si>
    <t>*Calculated from year of purchase to end of lifespan</t>
  </si>
  <si>
    <t>Beginning value for cost period</t>
  </si>
  <si>
    <t>Estimated value at end of the ownership period</t>
  </si>
  <si>
    <t>Estimated value at time of purchase</t>
  </si>
  <si>
    <t>Ownership Costs</t>
  </si>
  <si>
    <r>
      <t xml:space="preserve">Capital recovery (interest and depreciation, $/yr) </t>
    </r>
    <r>
      <rPr>
        <vertAlign val="superscript"/>
        <sz val="10"/>
        <rFont val="Arial"/>
        <family val="2"/>
      </rPr>
      <t>3</t>
    </r>
  </si>
  <si>
    <r>
      <t xml:space="preserve">Property Insurance &amp; Taxes ($/yr) </t>
    </r>
    <r>
      <rPr>
        <vertAlign val="superscript"/>
        <sz val="10"/>
        <rFont val="Arial"/>
        <family val="2"/>
      </rPr>
      <t>4</t>
    </r>
  </si>
  <si>
    <r>
      <t xml:space="preserve">Repair Investments in Repairs &amp; Services ($/yr) </t>
    </r>
    <r>
      <rPr>
        <vertAlign val="superscript"/>
        <sz val="10"/>
        <rFont val="Arial"/>
        <family val="2"/>
      </rPr>
      <t>3,4,*</t>
    </r>
  </si>
  <si>
    <t>Total ownership cost ($/yr)</t>
  </si>
  <si>
    <t>Operating Costs</t>
  </si>
  <si>
    <t>Maintenance Labor (hrs/yr)</t>
  </si>
  <si>
    <r>
      <t>Operating Labor (hrs/yr) 
[</t>
    </r>
    <r>
      <rPr>
        <i/>
        <sz val="10"/>
        <rFont val="Arial"/>
        <family val="2"/>
      </rPr>
      <t>or User-Estimated Total Labor (hrs/yr)</t>
    </r>
    <r>
      <rPr>
        <sz val="10"/>
        <rFont val="Arial"/>
        <family val="2"/>
      </rPr>
      <t>]</t>
    </r>
  </si>
  <si>
    <r>
      <t xml:space="preserve">Total operating cost ($/yr) </t>
    </r>
    <r>
      <rPr>
        <b/>
        <vertAlign val="superscript"/>
        <sz val="10"/>
        <rFont val="Arial"/>
        <family val="2"/>
      </rPr>
      <t>1, 2a, 2b,*</t>
    </r>
    <r>
      <rPr>
        <b/>
        <sz val="10"/>
        <rFont val="Arial"/>
        <family val="2"/>
      </rPr>
      <t>*</t>
    </r>
  </si>
  <si>
    <t>Total Ownership plus Operating Costs ($/yr)</t>
  </si>
  <si>
    <t>Measurement Frequency (#/yr)</t>
  </si>
  <si>
    <t>Per Measurement Cost ($/measurement/yr)</t>
  </si>
  <si>
    <r>
      <rPr>
        <vertAlign val="superscript"/>
        <sz val="8"/>
        <color theme="1"/>
        <rFont val="Calibri"/>
        <family val="2"/>
        <scheme val="minor"/>
      </rPr>
      <t xml:space="preserve">1 </t>
    </r>
    <r>
      <rPr>
        <sz val="8"/>
        <color theme="1"/>
        <rFont val="Calibri"/>
        <family val="2"/>
        <scheme val="minor"/>
      </rPr>
      <t xml:space="preserve">Purchase &amp; installation price, lifespan, maintenance &amp; operating labor hours per year were determined from interviews with irrigation equipment vendors, California orchard-irrigation specialists, and growers. For detailed information on data, see 'Equipment Data' tab. We do not provide names of vendors.
</t>
    </r>
    <r>
      <rPr>
        <vertAlign val="superscript"/>
        <sz val="8"/>
        <color theme="1"/>
        <rFont val="Calibri"/>
        <family val="2"/>
        <scheme val="minor"/>
      </rPr>
      <t>2a</t>
    </r>
    <r>
      <rPr>
        <sz val="8"/>
        <color theme="1"/>
        <rFont val="Calibri"/>
        <family val="2"/>
        <scheme val="minor"/>
      </rPr>
      <t xml:space="preserve"> U.S. Bureau of Labor Statistics. (2022, March 31). 45-1011 First-Line Supervisors of Farming, Fishing, and Forestry Workers for California. Occupational Employment and Wage Statistics, May 2021. Retrieved March 30, 2023, from https://www.bls.gov/oes/current/map_changer.htm (Note: Updated the wage from a 2021 to 2023 value using the prices paid index cited below.)*
</t>
    </r>
    <r>
      <rPr>
        <vertAlign val="superscript"/>
        <sz val="8"/>
        <color theme="1"/>
        <rFont val="Calibri"/>
        <family val="2"/>
        <scheme val="minor"/>
      </rPr>
      <t>2b</t>
    </r>
    <r>
      <rPr>
        <sz val="8"/>
        <color theme="1"/>
        <rFont val="Calibri"/>
        <family val="2"/>
        <scheme val="minor"/>
      </rPr>
      <t xml:space="preserve"> USDA NASS. (2023, January). Prices Paid: Indexes for All Items and Production Items by Month - United States. Prices Paid. Retrieved on March 30, 2023, from https://www.nass.usda.gov/Charts_and_Maps/Agricultural_Prices/index.php*
</t>
    </r>
    <r>
      <rPr>
        <vertAlign val="superscript"/>
        <sz val="8"/>
        <color theme="1"/>
        <rFont val="Calibri"/>
        <family val="2"/>
        <scheme val="minor"/>
      </rPr>
      <t xml:space="preserve">3 </t>
    </r>
    <r>
      <rPr>
        <sz val="8"/>
        <color theme="1"/>
        <rFont val="Calibri"/>
        <family val="2"/>
        <scheme val="minor"/>
      </rPr>
      <t xml:space="preserve">Duncan et al. (2019). 2019 Sample Costs to Establish an Orchard and Produce Almonds: San Joaquin Valley South Double-line Drip Irrigation. Retrieved on May 1, 2022 from https://coststudies.ucdavis.edu/en/current/ (see page 11).
</t>
    </r>
    <r>
      <rPr>
        <vertAlign val="superscript"/>
        <sz val="8"/>
        <color theme="1"/>
        <rFont val="Calibri"/>
        <family val="2"/>
        <scheme val="minor"/>
      </rPr>
      <t>4</t>
    </r>
    <r>
      <rPr>
        <sz val="8"/>
        <color theme="1"/>
        <rFont val="Calibri"/>
        <family val="2"/>
        <scheme val="minor"/>
      </rPr>
      <t xml:space="preserve"> Niederholzer et al. (2022). 2022 Sample Costs to Establish an Orchard and Produce Prunes. Retrieved on April 23, 2023 from https://coststudies.ucdavis.edu/en/current/
* Annual investment in repairs &amp; services assumes an annual cost of 2% of purchase price to cover annual repairs (Duncan et al., 2019; Neiderholzer at al., 2022). If there were substantial annual costs associated with the practice that was added on top of the 2% assumption, or replaced in some cases. See "Equipment Cost Data" for more information by practice.
**Following the protocol in Duncan et al. (2019) for calculating cost of labor, we add 41.72% to the $25.29/hr average wage rate</t>
    </r>
    <r>
      <rPr>
        <vertAlign val="superscript"/>
        <sz val="8"/>
        <color theme="1"/>
        <rFont val="Calibri"/>
        <family val="2"/>
        <scheme val="minor"/>
      </rPr>
      <t>2a</t>
    </r>
    <r>
      <rPr>
        <sz val="8"/>
        <color theme="1"/>
        <rFont val="Calibri"/>
        <family val="2"/>
        <scheme val="minor"/>
      </rPr>
      <t xml:space="preserve"> "for the employer's share of federal and state payroll taxes, workers' compensation insurance, for nut crops (0045), and other possible benefits" then adjust to 2023 values using the prices paid index</t>
    </r>
    <r>
      <rPr>
        <vertAlign val="superscript"/>
        <sz val="8"/>
        <color theme="1"/>
        <rFont val="Calibri"/>
        <family val="2"/>
        <scheme val="minor"/>
      </rPr>
      <t>2b</t>
    </r>
    <r>
      <rPr>
        <sz val="8"/>
        <color theme="1"/>
        <rFont val="Calibri"/>
        <family val="2"/>
        <scheme val="minor"/>
      </rPr>
      <t xml:space="preserve"> resulting in the wage rate of $41.73/hr.</t>
    </r>
  </si>
  <si>
    <r>
      <t xml:space="preserve">Management Categories &amp; Levels
</t>
    </r>
    <r>
      <rPr>
        <i/>
        <sz val="11"/>
        <color theme="1"/>
        <rFont val="Calibri"/>
        <family val="2"/>
        <scheme val="minor"/>
      </rPr>
      <t>(as written in Calculator)</t>
    </r>
  </si>
  <si>
    <t>Level</t>
  </si>
  <si>
    <r>
      <t xml:space="preserve">Description 
</t>
    </r>
    <r>
      <rPr>
        <i/>
        <sz val="11"/>
        <color theme="1"/>
        <rFont val="Calibri"/>
        <family val="2"/>
        <scheme val="minor"/>
      </rPr>
      <t>(as written in ABC Irrigation Improvement Continuum)</t>
    </r>
  </si>
  <si>
    <t>Evapotranspiration (ET)</t>
  </si>
  <si>
    <t>Orchard Water Requirements</t>
  </si>
  <si>
    <t>Fundamental</t>
  </si>
  <si>
    <t>Use “normal year” published regional crop ET (ETc) to estimate irrigation demand on a monthly basis</t>
  </si>
  <si>
    <t>Intermediate</t>
  </si>
  <si>
    <t xml:space="preserve">Adjust “normal year” published regional ETc for current weather and cover crop use to estimate irrigation demand on a biweekly basis </t>
  </si>
  <si>
    <t>Advanced</t>
  </si>
  <si>
    <t>Use “normal year” published regional ETc to plan irrigations, then use real-time ETc data to correct the schedule on a biweekly basis</t>
  </si>
  <si>
    <t>Irrigation System Performance</t>
  </si>
  <si>
    <t>Evaluate irrigation system for pressure variation and average application rate at least once every three years. Correct any diagnosed system performance problems.</t>
  </si>
  <si>
    <r>
      <t xml:space="preserve">Assess distribution uniformity and average application rate by measuring water volume </t>
    </r>
    <r>
      <rPr>
        <sz val="11"/>
        <color theme="1"/>
        <rFont val="Calibri"/>
        <family val="2"/>
        <scheme val="minor"/>
      </rPr>
      <t>at least every three years. Correct any diagnosed system performance problems.</t>
    </r>
  </si>
  <si>
    <t>Assess distribution uniformity and average application rate by measuring water volume at least every two years. Correct any diagnosed system performance problems.</t>
  </si>
  <si>
    <t>Applied Water</t>
  </si>
  <si>
    <t>Use application rate and duration of irrigation to determine water applied.</t>
  </si>
  <si>
    <t>Use water meters to determine flow rate and water applied.</t>
  </si>
  <si>
    <t>Use water meters to determine applied water and compare to crop water use (ETc) to determine irrigation efficiency.</t>
  </si>
  <si>
    <t>Soil Moisture</t>
  </si>
  <si>
    <t>Evaluate soil moisture based upon feel and appearance by augering to at least 3-5 feet. Monitor on a monthly time step.</t>
  </si>
  <si>
    <t>Use manually operated soil moisture sensors to at least 3-5 feet and monitor on a biweekly time step. Use information to ensure calculated water is not over/under irrigating trees.</t>
  </si>
  <si>
    <t>Use automated moisture sensors that store data over time. Review weekly to ensure calculated water is not over-/under-irrigating trees.</t>
  </si>
  <si>
    <t>Plant Water Status</t>
  </si>
  <si>
    <t>Evaluate orchard water status using visual plant cues just prior to irrigation or on a biweekly basis.</t>
  </si>
  <si>
    <t>Intermediate/Advanced</t>
  </si>
  <si>
    <t>Use pressure chamber to measure midday stem water potential just prior to irrigation or on a monthly basis to weekly basis, comparing readings to baseline values. Ensure calculated water applications are not over/under irrigating trees. Use it to assess when to start irrigating.</t>
  </si>
  <si>
    <t>Use plant-based sensors to monitor plant-water status in real-time to ensure calculate water applications are not over/under irrigating trees. Use it to assess when to start irrigating.</t>
  </si>
  <si>
    <r>
      <rPr>
        <b/>
        <sz val="10"/>
        <color theme="1"/>
        <rFont val="Calibri"/>
        <family val="2"/>
        <scheme val="minor"/>
      </rPr>
      <t xml:space="preserve">DO NOT EDIT THIS TAB </t>
    </r>
    <r>
      <rPr>
        <sz val="10"/>
        <color theme="1"/>
        <rFont val="Calibri"/>
        <family val="2"/>
        <scheme val="minor"/>
      </rPr>
      <t>(</t>
    </r>
    <r>
      <rPr>
        <i/>
        <sz val="10"/>
        <color theme="1"/>
        <rFont val="Calibri"/>
        <family val="2"/>
        <scheme val="minor"/>
      </rPr>
      <t>Note: Change purchase price, lifespan, labor hours, &amp; wage rate in the calculator</t>
    </r>
    <r>
      <rPr>
        <sz val="10"/>
        <color theme="1"/>
        <rFont val="Calibri"/>
        <family val="2"/>
        <scheme val="minor"/>
      </rPr>
      <t>). For updates by tool developers, follow instructions detailed below this table.</t>
    </r>
  </si>
  <si>
    <r>
      <t xml:space="preserve">Default Ownership Costs (2023 values)
</t>
    </r>
    <r>
      <rPr>
        <i/>
        <sz val="11"/>
        <rFont val="Calibri"/>
        <family val="2"/>
        <scheme val="minor"/>
      </rPr>
      <t>(see comments indicated by purple corner for definitions)</t>
    </r>
  </si>
  <si>
    <r>
      <t xml:space="preserve">Default Operating Costs (2023 values)
</t>
    </r>
    <r>
      <rPr>
        <i/>
        <sz val="11"/>
        <rFont val="Calibri"/>
        <family val="2"/>
        <scheme val="minor"/>
      </rPr>
      <t>(see comments for definitions)</t>
    </r>
  </si>
  <si>
    <t>Default O + O</t>
  </si>
  <si>
    <t>Default Price Range 
(2023 values)</t>
  </si>
  <si>
    <t>Economic Cost Estimates for 
Advanced Irrigation Management Levels by Category</t>
  </si>
  <si>
    <t>Purchase Price ($)</t>
  </si>
  <si>
    <t>Installation Cost ($)</t>
  </si>
  <si>
    <t>Lifespan (Yrs)</t>
  </si>
  <si>
    <t>Salvage Value ($)</t>
  </si>
  <si>
    <t>Capital Recovery Cost ($/yr)</t>
  </si>
  <si>
    <t xml:space="preserve"> Insurance ($/yr)</t>
  </si>
  <si>
    <t>Taxes ($/yr)</t>
  </si>
  <si>
    <t>Annual Investment in Repairs &amp; Services ($/yr)</t>
  </si>
  <si>
    <t>Maintenance (hrs/yr)</t>
  </si>
  <si>
    <t>Hours per
Measure-ment (hrs)</t>
  </si>
  <si>
    <t>Operating Labor (hrs/yr)</t>
  </si>
  <si>
    <t>Total Monitoring Labor Cost ($/yr)</t>
  </si>
  <si>
    <t>Total Economic Cost ($/yr)</t>
  </si>
  <si>
    <t>Minimum Market Value Identified ($)</t>
  </si>
  <si>
    <t>Maximum Market Value Identified ($)</t>
  </si>
  <si>
    <t>Evapotranspiration Monitoring</t>
  </si>
  <si>
    <t>Irrigation System Performance Monitoring</t>
  </si>
  <si>
    <t>Applied Water Monitoring</t>
  </si>
  <si>
    <t>Soil Moisture Monitoring</t>
  </si>
  <si>
    <t>Plant Water Status Monitoring</t>
  </si>
  <si>
    <t>Overview of Assumptions (also, see comments by cells above; for detailed information of assumptions by practice see "Practices" tab):</t>
  </si>
  <si>
    <r>
      <t xml:space="preserve">All estimates are based on the equipment, number of measurements advised </t>
    </r>
    <r>
      <rPr>
        <b/>
        <sz val="11"/>
        <color theme="1"/>
        <rFont val="Calibri"/>
        <family val="2"/>
        <scheme val="minor"/>
      </rPr>
      <t>for one 40-acre irrigation block under the same soil type and irrigation system.</t>
    </r>
  </si>
  <si>
    <r>
      <t xml:space="preserve">Purchase price, installation cost, lifespan, annual investment repairs &amp; services, and annual maintenance &amp; operating hours were </t>
    </r>
    <r>
      <rPr>
        <b/>
        <sz val="11"/>
        <color theme="1"/>
        <rFont val="Calibri"/>
        <family val="2"/>
        <scheme val="minor"/>
      </rPr>
      <t>determined from interviews with irrigation equipment vendors, California orchard-irrigation specialists, and growers</t>
    </r>
    <r>
      <rPr>
        <sz val="11"/>
        <color theme="1"/>
        <rFont val="Calibri"/>
        <family val="2"/>
        <scheme val="minor"/>
      </rPr>
      <t>. For more information on assumptions by practice, see the 'Practices'  tab.</t>
    </r>
  </si>
  <si>
    <t>For practices involving no equipment, there are no ownership costs incurred unless there are associated annual investment repairs and services (e.g., paying an annual fee for adjusted ETc data for your region).</t>
  </si>
  <si>
    <r>
      <rPr>
        <b/>
        <sz val="11"/>
        <color theme="1"/>
        <rFont val="Calibri"/>
        <family val="2"/>
        <scheme val="minor"/>
      </rPr>
      <t>No transportation costs are included</t>
    </r>
    <r>
      <rPr>
        <sz val="11"/>
        <color theme="1"/>
        <rFont val="Calibri"/>
        <family val="2"/>
        <scheme val="minor"/>
      </rPr>
      <t xml:space="preserve"> in these estimates (particularly installion, maintenance, and hours per measurement variables) because the calculator is not set up to properly estimate transportation costs and we assume these practices are completed alongside normal operations that involve transportation.</t>
    </r>
  </si>
  <si>
    <r>
      <t xml:space="preserve">For hours per measurement estimates, we </t>
    </r>
    <r>
      <rPr>
        <b/>
        <sz val="11"/>
        <color theme="1"/>
        <rFont val="Calibri"/>
        <family val="2"/>
        <scheme val="minor"/>
      </rPr>
      <t>do not include the time it takes to use resulting measurements to adjust irrigation scheduling</t>
    </r>
    <r>
      <rPr>
        <sz val="11"/>
        <color theme="1"/>
        <rFont val="Calibri"/>
        <family val="2"/>
        <scheme val="minor"/>
      </rPr>
      <t>, except for ET category somewhat, as we assume that occurs across all practices.</t>
    </r>
  </si>
  <si>
    <r>
      <rPr>
        <b/>
        <sz val="11"/>
        <color theme="1"/>
        <rFont val="Calibri"/>
        <family val="2"/>
        <scheme val="minor"/>
      </rPr>
      <t xml:space="preserve">The cost of a data logger, cellular data, and data software subscription is included in each advanced practice </t>
    </r>
    <r>
      <rPr>
        <sz val="11"/>
        <color theme="1"/>
        <rFont val="Calibri"/>
        <family val="2"/>
        <scheme val="minor"/>
      </rPr>
      <t xml:space="preserve">so </t>
    </r>
    <r>
      <rPr>
        <b/>
        <sz val="11"/>
        <color theme="1"/>
        <rFont val="Calibri"/>
        <family val="2"/>
        <scheme val="minor"/>
      </rPr>
      <t>be aware of double counting</t>
    </r>
    <r>
      <rPr>
        <sz val="11"/>
        <color theme="1"/>
        <rFont val="Calibri"/>
        <family val="2"/>
        <scheme val="minor"/>
      </rPr>
      <t xml:space="preserve"> if you are comparing advanced levels between categories. These telemetry costs for each advanced level are:</t>
    </r>
  </si>
  <si>
    <t xml:space="preserve">       - In-field evapotranspiration: $600/year for cellular data &amp; API (included in annual investment) + $995 for telemetry unit (included in purchase price; based on one vendor quote)</t>
  </si>
  <si>
    <t xml:space="preserve">       - Leased in-field evapotranspiration equipment &amp; service: $2,000/year for everything (based on one vendor quote)</t>
  </si>
  <si>
    <t xml:space="preserve">       - Automated flow meters: $300/year for cellular data &amp; API (included in annual investment) &amp; $1,500 data logger (included in purchase price)</t>
  </si>
  <si>
    <t xml:space="preserve">       - Automated soil moisture probes: $300/year for cellular data &amp; API (included in annual investment) &amp; telemetry and data logger units included in purchase price</t>
  </si>
  <si>
    <t xml:space="preserve">       - Leased plant-based sensors equipment &amp; service: $2,252/year average for everything (based on two vendor quotes)</t>
  </si>
  <si>
    <r>
      <t xml:space="preserve">Purchase prices include a </t>
    </r>
    <r>
      <rPr>
        <b/>
        <sz val="11"/>
        <color theme="1"/>
        <rFont val="Calibri"/>
        <family val="2"/>
        <scheme val="minor"/>
      </rPr>
      <t>2.25% California sales tax for equipment</t>
    </r>
    <r>
      <rPr>
        <sz val="11"/>
        <color theme="1"/>
        <rFont val="Calibri"/>
        <family val="2"/>
        <scheme val="minor"/>
      </rPr>
      <t xml:space="preserve"> (less than average state sales tax due to farm equipment &amp; machinery sales &amp; use tax exemption) and there is no sales tax on services. See "Basic Data" tab.</t>
    </r>
  </si>
  <si>
    <t>Lifespan is assumed to be 25 years, the average life of an orchard, for practices that are a service or it is unknown.</t>
  </si>
  <si>
    <r>
      <rPr>
        <b/>
        <sz val="11"/>
        <color theme="1"/>
        <rFont val="Calibri"/>
        <family val="2"/>
        <scheme val="minor"/>
      </rPr>
      <t>Salvage value is assumed to be 7% of the purchase price</t>
    </r>
    <r>
      <rPr>
        <sz val="11"/>
        <color theme="1"/>
        <rFont val="Calibri"/>
        <family val="2"/>
        <scheme val="minor"/>
      </rPr>
      <t xml:space="preserve"> based on the 2022 UC Davis  Sample Costs to Produce Prunes analysis of a pressure chamber where they assume a 7% salvage value, along with fuel storage tanks &amp; pumps and shop/field tools (Niederholzer et al., 2022, Table 6, Page 21).</t>
    </r>
  </si>
  <si>
    <t>Capital recovery cost is calculated following protocol from 2019 UC Davis Sample Costs to Produce Almonds, which is guided by the "Commodity Costs and Returns Estimation Handbook" by the American Agricultural Economics Association (Duncan et al., 2019, page 11).</t>
  </si>
  <si>
    <r>
      <t xml:space="preserve">The </t>
    </r>
    <r>
      <rPr>
        <b/>
        <sz val="11"/>
        <color theme="1"/>
        <rFont val="Calibri"/>
        <family val="2"/>
        <scheme val="minor"/>
      </rPr>
      <t xml:space="preserve">formula for capital recovery cost </t>
    </r>
    <r>
      <rPr>
        <sz val="11"/>
        <color theme="1"/>
        <rFont val="Calibri"/>
        <family val="2"/>
        <scheme val="minor"/>
      </rPr>
      <t xml:space="preserve">(CRC) is: </t>
    </r>
    <r>
      <rPr>
        <b/>
        <sz val="11"/>
        <color theme="1"/>
        <rFont val="Calibri"/>
        <family val="2"/>
        <scheme val="minor"/>
      </rPr>
      <t>(Interest Rate/(1-(1+I.R.)^(-Lifespan)))*(Purchase Price + Installation Cost – Salvage Value) + Salvage Value x Interest Rate</t>
    </r>
    <r>
      <rPr>
        <sz val="11"/>
        <color theme="1"/>
        <rFont val="Calibri"/>
        <family val="2"/>
        <scheme val="minor"/>
      </rPr>
      <t>. See written definition in CRC comment.</t>
    </r>
  </si>
  <si>
    <r>
      <rPr>
        <b/>
        <sz val="11"/>
        <color theme="1"/>
        <rFont val="Calibri"/>
        <family val="2"/>
        <scheme val="minor"/>
      </rPr>
      <t>Interest rate is assumed to be 6.50%</t>
    </r>
    <r>
      <rPr>
        <sz val="11"/>
        <color theme="1"/>
        <rFont val="Calibri"/>
        <family val="2"/>
        <scheme val="minor"/>
      </rPr>
      <t xml:space="preserve"> to calculate capital recovery based on 2022 UC Davis Sample Costs to Produce Prunes analysis (Niederholzer et al., 2022, page 10). We use the prune sample costs study instead of the almond version because it is a more recent publication, so financial rates are more up-to-date than 2019 almond study. See "Basic Data" tab.</t>
    </r>
  </si>
  <si>
    <r>
      <t xml:space="preserve">Insurance is included as an annual cash overhead ownership cost, which assumes </t>
    </r>
    <r>
      <rPr>
        <b/>
        <sz val="11"/>
        <color theme="1"/>
        <rFont val="Calibri"/>
        <family val="2"/>
        <scheme val="minor"/>
      </rPr>
      <t>coverage for property loss charged at 0.846%</t>
    </r>
    <r>
      <rPr>
        <sz val="11"/>
        <color theme="1"/>
        <rFont val="Calibri"/>
        <family val="2"/>
        <scheme val="minor"/>
      </rPr>
      <t xml:space="preserve"> </t>
    </r>
    <r>
      <rPr>
        <b/>
        <sz val="11"/>
        <color theme="1"/>
        <rFont val="Calibri"/>
        <family val="2"/>
        <scheme val="minor"/>
      </rPr>
      <t>of the average value of the asset over their useful life</t>
    </r>
    <r>
      <rPr>
        <sz val="11"/>
        <color theme="1"/>
        <rFont val="Calibri"/>
        <family val="2"/>
        <scheme val="minor"/>
      </rPr>
      <t xml:space="preserve"> (Niederholzer et al., 2022, page 9)</t>
    </r>
  </si>
  <si>
    <r>
      <rPr>
        <b/>
        <sz val="11"/>
        <color theme="1"/>
        <rFont val="Calibri"/>
        <family val="2"/>
        <scheme val="minor"/>
      </rPr>
      <t>Taxes based on 1.00% of average value of equiment over lifespan</t>
    </r>
    <r>
      <rPr>
        <sz val="11"/>
        <color theme="1"/>
        <rFont val="Calibri"/>
        <family val="2"/>
        <scheme val="minor"/>
      </rPr>
      <t xml:space="preserve"> to account for increased property taxes due to improving value of orchard  (Niederholzer et al., 2022, page 9). This annual tax is included if the practice improves the property value, so only included for more permanent investments (automated systems).</t>
    </r>
  </si>
  <si>
    <r>
      <rPr>
        <b/>
        <sz val="11"/>
        <color theme="1"/>
        <rFont val="Calibri"/>
        <family val="2"/>
        <scheme val="minor"/>
      </rPr>
      <t>Annual investment repairs &amp; services assumes an annual cost of 2% of purchase price</t>
    </r>
    <r>
      <rPr>
        <sz val="11"/>
        <color theme="1"/>
        <rFont val="Calibri"/>
        <family val="2"/>
        <scheme val="minor"/>
      </rPr>
      <t xml:space="preserve"> to cover annual repairs (Duncan et al., 2019; Neiderholzer at al., 2022). If there were substantial annual costs associated with the practice that was added on top of the 2% assumption, or replaced in some cases.</t>
    </r>
  </si>
  <si>
    <r>
      <rPr>
        <b/>
        <sz val="11"/>
        <color theme="1"/>
        <rFont val="Calibri"/>
        <family val="2"/>
        <scheme val="minor"/>
      </rPr>
      <t>Assume zero hours per measurement for automated practices</t>
    </r>
    <r>
      <rPr>
        <sz val="11"/>
        <color theme="1"/>
        <rFont val="Calibri"/>
        <family val="2"/>
        <scheme val="minor"/>
      </rPr>
      <t xml:space="preserve"> at the advanced level because measurements are automatically made and recorded over cellular data.</t>
    </r>
  </si>
  <si>
    <t>Assume labor wage rate to be for an ag supervisory role (see 'Basic Data' tab).</t>
  </si>
  <si>
    <t>INSTRUCTIONS FOR UPDATING DATA</t>
  </si>
  <si>
    <r>
      <t>TIP:</t>
    </r>
    <r>
      <rPr>
        <sz val="11"/>
        <color theme="1"/>
        <rFont val="Calibri"/>
        <family val="2"/>
        <scheme val="minor"/>
      </rPr>
      <t xml:space="preserve"> Only update data on this tab if appropriate for all users (i.e., inflation, new technology, new management categories &amp; levels). Individuals can update the purchase price, equipment lifespan, equipment maintenance &amp; operating (i.e., taking measurement) annual labor, and wage rate in the "Calculator" tab to adjust their results.</t>
    </r>
  </si>
  <si>
    <r>
      <rPr>
        <b/>
        <sz val="11"/>
        <color theme="1"/>
        <rFont val="Calibri"/>
        <family val="2"/>
        <scheme val="minor"/>
      </rPr>
      <t xml:space="preserve">WARNING: </t>
    </r>
    <r>
      <rPr>
        <sz val="11"/>
        <color theme="1"/>
        <rFont val="Calibri"/>
        <family val="2"/>
        <scheme val="minor"/>
      </rPr>
      <t>Updates to column A (Advanced Irrigation Management Levels by Category) CAN ONLY BE EDITED IN Table 1 on 'Lists' tab. This impacts ALL formulas in the calculator and will break the calculator if column A is edited on this page.</t>
    </r>
  </si>
  <si>
    <r>
      <rPr>
        <b/>
        <sz val="11"/>
        <color theme="1"/>
        <rFont val="Calibri"/>
        <family val="2"/>
        <scheme val="minor"/>
      </rPr>
      <t xml:space="preserve">1. Unprotect the tab - </t>
    </r>
    <r>
      <rPr>
        <sz val="11"/>
        <color theme="1"/>
        <rFont val="Calibri"/>
        <family val="2"/>
        <scheme val="minor"/>
      </rPr>
      <t>Select "Review" tab in Excel header then "Unprotect Sheet" in Protect options.</t>
    </r>
  </si>
  <si>
    <r>
      <rPr>
        <b/>
        <sz val="11"/>
        <color theme="1"/>
        <rFont val="Calibri"/>
        <family val="2"/>
        <scheme val="minor"/>
      </rPr>
      <t>2. To change the Default Purchase Price</t>
    </r>
    <r>
      <rPr>
        <sz val="11"/>
        <color theme="1"/>
        <rFont val="Calibri"/>
        <family val="2"/>
        <scheme val="minor"/>
      </rPr>
      <t>, you can override the formula in Column B, which is simply taking the average of the minimum and maximum values in Columns P &amp; Q. Alternatively, you can update the minimum and maximum price options to adjust the purchase price up or down.</t>
    </r>
  </si>
  <si>
    <t>3. Installation cost, lifespan, annual investment in repairs &amp; services, maintenance (hrs/yr), measurement frequency, &amp; hours per measurement can be changed directly in the table.</t>
  </si>
  <si>
    <t>4. To update measurement frequency based on the number of irrigation sets or length of irrigation season, update in "Basic Data" tab.</t>
  </si>
  <si>
    <t>5. To update any financial rates, such as interest rate used in the CRC calculation or labor rate used in the total labor cost calculation, update in "Basic Data" tab.</t>
  </si>
  <si>
    <r>
      <t xml:space="preserve">6. </t>
    </r>
    <r>
      <rPr>
        <b/>
        <sz val="11"/>
        <rFont val="Calibri"/>
        <family val="2"/>
        <scheme val="minor"/>
      </rPr>
      <t xml:space="preserve">To update the dropdown menus </t>
    </r>
    <r>
      <rPr>
        <sz val="11"/>
        <rFont val="Calibri"/>
        <family val="2"/>
        <scheme val="minor"/>
      </rPr>
      <t xml:space="preserve">on "Calculator" tab, you can </t>
    </r>
    <r>
      <rPr>
        <b/>
        <sz val="11"/>
        <rFont val="Calibri"/>
        <family val="2"/>
        <scheme val="minor"/>
      </rPr>
      <t>edit and/or add to Table 1 on "Lists" tab</t>
    </r>
    <r>
      <rPr>
        <sz val="11"/>
        <rFont val="Calibri"/>
        <family val="2"/>
        <scheme val="minor"/>
      </rPr>
      <t>.</t>
    </r>
  </si>
  <si>
    <r>
      <rPr>
        <b/>
        <sz val="11"/>
        <color theme="1"/>
        <rFont val="Calibri"/>
        <family val="2"/>
        <scheme val="minor"/>
      </rPr>
      <t xml:space="preserve">Note: </t>
    </r>
    <r>
      <rPr>
        <sz val="11"/>
        <color theme="1"/>
        <rFont val="Calibri"/>
        <family val="2"/>
        <scheme val="minor"/>
      </rPr>
      <t>The tables on "Lists" tab are named. Reference the Name Manager.</t>
    </r>
  </si>
  <si>
    <r>
      <rPr>
        <b/>
        <sz val="11"/>
        <rFont val="Calibri"/>
        <family val="2"/>
        <scheme val="minor"/>
      </rPr>
      <t xml:space="preserve">Note: </t>
    </r>
    <r>
      <rPr>
        <sz val="11"/>
        <rFont val="Calibri"/>
        <family val="2"/>
        <scheme val="minor"/>
      </rPr>
      <t xml:space="preserve">In order for "Calculator" to reference the dropdown menu selections, the output of the irrigation management selection 1 and 2 is a number (aka the output "Cell Link") is inserted into Table 2 or Table 3, respectively, on the "Lists" tab, then that number is indexed in subsequent columns in respective tables to identify the dropdown selection text for the Calculator to use. Reference the Name Manager to understand the Form Control functions used in the Calculator's dropdown menus. </t>
    </r>
  </si>
  <si>
    <r>
      <t xml:space="preserve">Measurement Frequency Count Based on Irrigation Season (Mid-March through Mid-October) </t>
    </r>
    <r>
      <rPr>
        <b/>
        <vertAlign val="superscript"/>
        <sz val="10"/>
        <color theme="1"/>
        <rFont val="Calibri"/>
        <family val="2"/>
        <scheme val="minor"/>
      </rPr>
      <t>1</t>
    </r>
  </si>
  <si>
    <t>Daily</t>
  </si>
  <si>
    <t>Weekly</t>
  </si>
  <si>
    <t>Bi-weekly</t>
  </si>
  <si>
    <t>Monthly</t>
  </si>
  <si>
    <t>Annually</t>
  </si>
  <si>
    <t>Every Two Years</t>
  </si>
  <si>
    <t>Every Three Years</t>
  </si>
  <si>
    <r>
      <rPr>
        <b/>
        <vertAlign val="superscript"/>
        <sz val="8"/>
        <color theme="1"/>
        <rFont val="Calibri"/>
        <family val="2"/>
        <scheme val="minor"/>
      </rPr>
      <t>1</t>
    </r>
    <r>
      <rPr>
        <sz val="8"/>
        <color theme="1"/>
        <rFont val="Calibri"/>
        <family val="2"/>
        <scheme val="minor"/>
      </rPr>
      <t xml:space="preserve"> Duncan et al. (2019). 2019 Sample Costs to Establish an Orchard and Produce Almonds: San Joaquin Valley South Double-line Drip Irrigation. University of California Davis Department of Agricultural and Resource Economics. Retrieved on April 23, 2023 from https://coststudies.ucdavis.edu/en/current/</t>
    </r>
  </si>
  <si>
    <r>
      <rPr>
        <b/>
        <sz val="8"/>
        <color theme="1"/>
        <rFont val="Calibri"/>
        <family val="2"/>
        <scheme val="minor"/>
      </rPr>
      <t>Note:</t>
    </r>
    <r>
      <rPr>
        <sz val="8"/>
        <color theme="1"/>
        <rFont val="Calibri"/>
        <family val="2"/>
        <scheme val="minor"/>
      </rPr>
      <t xml:space="preserve"> </t>
    </r>
    <r>
      <rPr>
        <i/>
        <sz val="8"/>
        <color theme="1"/>
        <rFont val="Calibri"/>
        <family val="2"/>
        <scheme val="minor"/>
      </rPr>
      <t>According to Duncan et al. (2019), "Water is applied to the orchard approximately once to twice a week from mid-March through mid-October."</t>
    </r>
  </si>
  <si>
    <t>Various Rates</t>
  </si>
  <si>
    <r>
      <t xml:space="preserve">Machinery Interest </t>
    </r>
    <r>
      <rPr>
        <vertAlign val="superscript"/>
        <sz val="10"/>
        <color theme="1"/>
        <rFont val="Calibri"/>
        <family val="2"/>
        <scheme val="minor"/>
      </rPr>
      <t>1</t>
    </r>
  </si>
  <si>
    <r>
      <t xml:space="preserve">Property Tax </t>
    </r>
    <r>
      <rPr>
        <vertAlign val="superscript"/>
        <sz val="10"/>
        <color theme="1"/>
        <rFont val="Calibri"/>
        <family val="2"/>
        <scheme val="minor"/>
      </rPr>
      <t>1</t>
    </r>
  </si>
  <si>
    <r>
      <t xml:space="preserve">Property Insurance </t>
    </r>
    <r>
      <rPr>
        <vertAlign val="superscript"/>
        <sz val="10"/>
        <color theme="1"/>
        <rFont val="Calibri"/>
        <family val="2"/>
        <scheme val="minor"/>
      </rPr>
      <t>1</t>
    </r>
  </si>
  <si>
    <r>
      <t xml:space="preserve">California Average State Sales Tax </t>
    </r>
    <r>
      <rPr>
        <vertAlign val="superscript"/>
        <sz val="10"/>
        <color theme="1"/>
        <rFont val="Calibri"/>
        <family val="2"/>
        <scheme val="minor"/>
      </rPr>
      <t>2</t>
    </r>
  </si>
  <si>
    <r>
      <t>California Farm Equipment &amp; Machinery Average Sales Tax (exempt from 5% of sales tax)</t>
    </r>
    <r>
      <rPr>
        <vertAlign val="superscript"/>
        <sz val="10"/>
        <color theme="1"/>
        <rFont val="Calibri"/>
        <family val="2"/>
        <scheme val="minor"/>
      </rPr>
      <t>2</t>
    </r>
  </si>
  <si>
    <r>
      <rPr>
        <b/>
        <vertAlign val="superscript"/>
        <sz val="8"/>
        <color theme="1"/>
        <rFont val="Calibri"/>
        <family val="2"/>
        <scheme val="minor"/>
      </rPr>
      <t>1</t>
    </r>
    <r>
      <rPr>
        <sz val="8"/>
        <color theme="1"/>
        <rFont val="Calibri"/>
        <family val="2"/>
        <scheme val="minor"/>
      </rPr>
      <t xml:space="preserve">  Niederholzer et al. (2022). 2022 Sample Costs to Establish an Orchard and Produce Prunes. Retrieved on April 23, 2023 from https://coststudies.ucdavis.edu/en/current/</t>
    </r>
  </si>
  <si>
    <r>
      <rPr>
        <b/>
        <vertAlign val="superscript"/>
        <sz val="8"/>
        <color theme="1"/>
        <rFont val="Calibri"/>
        <family val="2"/>
        <scheme val="minor"/>
      </rPr>
      <t>2</t>
    </r>
    <r>
      <rPr>
        <sz val="8"/>
        <color theme="1"/>
        <rFont val="Calibri"/>
        <family val="2"/>
        <scheme val="minor"/>
      </rPr>
      <t xml:space="preserve"> California Department of Tax and Fee Adminstration (2023). California City &amp; County Sales &amp; Use Tax Rates. Retrieved on April 23, 2023 from https://www.cdtfa.ca.gov/taxes-and-fees/sales-use-tax-rates.htm#:~:text=The%20statewide%20tax%20rate%20is,one%20district%20tax%20in%20effect</t>
    </r>
  </si>
  <si>
    <r>
      <rPr>
        <b/>
        <sz val="8"/>
        <color theme="1"/>
        <rFont val="Calibri"/>
        <family val="2"/>
        <scheme val="minor"/>
      </rPr>
      <t>Note:</t>
    </r>
    <r>
      <rPr>
        <sz val="8"/>
        <color theme="1"/>
        <rFont val="Calibri"/>
        <family val="2"/>
        <scheme val="minor"/>
      </rPr>
      <t xml:space="preserve"> We reference the more recent 2022 prunes study instead of the 2019 almonds study to choose more recent financial rates.</t>
    </r>
  </si>
  <si>
    <r>
      <rPr>
        <b/>
        <sz val="10"/>
        <color theme="1"/>
        <rFont val="Calibri"/>
        <family val="2"/>
        <scheme val="minor"/>
      </rPr>
      <t xml:space="preserve">Labor Hourly Wage Rate* (adjusted to 2023 values) </t>
    </r>
    <r>
      <rPr>
        <b/>
        <vertAlign val="superscript"/>
        <sz val="10"/>
        <color theme="1"/>
        <rFont val="Calibri"/>
        <family val="2"/>
        <scheme val="minor"/>
      </rPr>
      <t>1,2</t>
    </r>
    <r>
      <rPr>
        <b/>
        <sz val="10"/>
        <color theme="1"/>
        <rFont val="Calibri"/>
        <family val="2"/>
        <scheme val="minor"/>
      </rPr>
      <t xml:space="preserve">
</t>
    </r>
    <r>
      <rPr>
        <i/>
        <sz val="8"/>
        <color theme="1"/>
        <rFont val="Calibri (Body)"/>
      </rPr>
      <t>*Includes 41.72% for employer's share of federal and state payroll taxes, workers' compensation insurance, for nut crops (0045), and other possible benefits.</t>
    </r>
    <r>
      <rPr>
        <vertAlign val="superscript"/>
        <sz val="10"/>
        <color theme="1"/>
        <rFont val="Calibri"/>
        <family val="2"/>
        <scheme val="minor"/>
      </rPr>
      <t>3</t>
    </r>
  </si>
  <si>
    <t>California Farm Supervisor Average Wage ($/hr)</t>
  </si>
  <si>
    <t>California Agricultural Workers, all Average Wage ($/hr)</t>
  </si>
  <si>
    <t>California Farmworkers/Laborers, Crop, Nursery, Greenhouse Average Wage ($/hr)</t>
  </si>
  <si>
    <r>
      <rPr>
        <b/>
        <vertAlign val="superscript"/>
        <sz val="8"/>
        <rFont val="Calibri"/>
        <family val="2"/>
        <scheme val="minor"/>
      </rPr>
      <t xml:space="preserve">1 </t>
    </r>
    <r>
      <rPr>
        <sz val="8"/>
        <rFont val="Calibri"/>
        <family val="2"/>
        <scheme val="minor"/>
      </rPr>
      <t>U.S. Bureau of Labor Statistics. (2022, March 31). 45-1011 First-Line Supervisors of Farming, Fishing, and Forestry Workers ($25.29/hr), Agricultural Workers, all ($20.98/hr), and Farmworkers and Laborers, Crop, Nursery, and Greenhouse ($15.28/hr) for California. Occupational Employment and Wage Statistics, May 2021. Retrieved March 30, 2023, from https://www.bls.gov/oes/current/map_changer.htm</t>
    </r>
  </si>
  <si>
    <r>
      <rPr>
        <b/>
        <vertAlign val="superscript"/>
        <sz val="8"/>
        <rFont val="Calibri"/>
        <family val="2"/>
        <scheme val="minor"/>
      </rPr>
      <t>2</t>
    </r>
    <r>
      <rPr>
        <sz val="8"/>
        <rFont val="Calibri"/>
        <family val="2"/>
        <scheme val="minor"/>
      </rPr>
      <t xml:space="preserve"> USDA NASS. (2023, January). Prices Paid: Indexes for All Items and Production Items by Month - United States. Prices Paid. Retrieved on March 30, 2023, from https://www.nass.usda.gov/Charts_and_Maps/Agricultural_Prices/index.php</t>
    </r>
  </si>
  <si>
    <r>
      <rPr>
        <b/>
        <vertAlign val="superscript"/>
        <sz val="8"/>
        <color theme="1"/>
        <rFont val="Calibri"/>
        <family val="2"/>
        <scheme val="minor"/>
      </rPr>
      <t>3</t>
    </r>
    <r>
      <rPr>
        <sz val="8"/>
        <color theme="1"/>
        <rFont val="Calibri"/>
        <family val="2"/>
        <scheme val="minor"/>
      </rPr>
      <t xml:space="preserve"> Duncan et al. (2019). 2019 Sample Costs to Establish an Orchard and Produce Almonds: San Joaquin Valley South Double-line Drip Irrigation. Retrieved on April 23, 2023 from https://coststudies.ucdavis.edu/en/current/*</t>
    </r>
  </si>
  <si>
    <r>
      <t>*Following the protocol in Duncan et al. (2019) for calculating cost of labor, we add 41.72% to the $25.29/hr average wage rate</t>
    </r>
    <r>
      <rPr>
        <vertAlign val="superscript"/>
        <sz val="8"/>
        <color theme="1"/>
        <rFont val="Calibri"/>
        <family val="2"/>
        <scheme val="minor"/>
      </rPr>
      <t>2</t>
    </r>
    <r>
      <rPr>
        <sz val="8"/>
        <color theme="1"/>
        <rFont val="Calibri"/>
        <family val="2"/>
        <scheme val="minor"/>
      </rPr>
      <t xml:space="preserve"> "for the employer's share of federal and state payroll taxes, workers' compensation insurance, for nut crops (0045), and other possible benefits" then adjust to 2023 values using the prices paid index resulting in the wage rate of $41.73/hr.</t>
    </r>
  </si>
  <si>
    <r>
      <rPr>
        <b/>
        <sz val="8"/>
        <rFont val="Calibri"/>
        <family val="2"/>
        <scheme val="minor"/>
      </rPr>
      <t>Note:</t>
    </r>
    <r>
      <rPr>
        <sz val="8"/>
        <rFont val="Calibri"/>
        <family val="2"/>
        <scheme val="minor"/>
      </rPr>
      <t xml:space="preserve"> BLS Occupational Employment and Wages Statistic annual update on April 25, 2023: https://www.bls.gov/oes/home.htm</t>
    </r>
  </si>
  <si>
    <t>LISTS</t>
  </si>
  <si>
    <t>ABOUT THIS TAB:</t>
  </si>
  <si>
    <t>This tab contains lists of items used by Excel's Form Control functions (i.e., the dropdown menus) on the "Calculator" tab and by the "Practices" and "Economic Cost Data" tabs. In order to add to this list, you must unprotect the worksheet. You can add to the lists as needed. It helps to be familiar with Form Control and Name Manager operations in Excel.</t>
  </si>
  <si>
    <t>Table 1: Advanced Irrigation Sub-Categories by Main Monitoring Categories</t>
  </si>
  <si>
    <t>1 - Public data, monthly</t>
  </si>
  <si>
    <t>1 - Spot check every 3yrs</t>
  </si>
  <si>
    <t>1 - Manual, hand calculated</t>
  </si>
  <si>
    <t>1 - Manual, auger, monthly</t>
  </si>
  <si>
    <t>1 - Manual, visually</t>
  </si>
  <si>
    <t>2 - Public data adjusted, biweekly</t>
  </si>
  <si>
    <t>2 - Assess DU every 3yrs</t>
  </si>
  <si>
    <t>2a - Manual, propeller meter</t>
  </si>
  <si>
    <t>2 - Manual, 3 tensiometers, biweekly</t>
  </si>
  <si>
    <t>2 - Manual, pressure chamber, biweekly</t>
  </si>
  <si>
    <t>3a - Real-time data, in-field ET telemetry station</t>
  </si>
  <si>
    <t>3 - Assess DU every 2yrs</t>
  </si>
  <si>
    <t>2b - Manual, mag meter</t>
  </si>
  <si>
    <t>3a - Manual, 3 granular blocks, biweekly</t>
  </si>
  <si>
    <t>3 - Automated, LEASED plant-based sensors</t>
  </si>
  <si>
    <t>3b - Real-time data, LEASED in-field ET station</t>
  </si>
  <si>
    <t>3a - Automated, prop meter + telemetry</t>
  </si>
  <si>
    <t>3b - Automated, 3 probes + telemetry</t>
  </si>
  <si>
    <t>3b - Automated, mag meter + telemetry</t>
  </si>
  <si>
    <t>Table 2: Form Control 1 - Combo Box &amp; List Box Input &amp; Output Cell Links</t>
  </si>
  <si>
    <t>Combo Box 1: Category Output Cell Link</t>
  </si>
  <si>
    <t>Categories 1 Transposed</t>
  </si>
  <si>
    <t>List Box 1: Sub-Category Output Cell Link</t>
  </si>
  <si>
    <t>SubCategory 1 Content</t>
  </si>
  <si>
    <t>Table 4: Form Control 2 - Combo Box &amp; List Box Input &amp; Output Cell Links</t>
  </si>
  <si>
    <t>Combo Box 2: Category Output Cell Link</t>
  </si>
  <si>
    <t>Categories 2 Transposed</t>
  </si>
  <si>
    <t>List Box 2: Sub-Category Output Cell Link</t>
  </si>
  <si>
    <t>SubCategory 2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</si>
</sst>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quot;$&quot;#,##0"/>
    <numFmt numFmtId="168" formatCode="0.000%"/>
  </numFmts>
  <fonts count="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4"/>
      <color theme="4" tint="-0.249977111117893"/>
      <name val="Calibri"/>
      <family val="2"/>
    </font>
    <font>
      <sz val="9"/>
      <name val="Calibri"/>
      <family val="2"/>
      <scheme val="minor"/>
    </font>
    <font>
      <b/>
      <sz val="12"/>
      <color rgb="FF669947"/>
      <name val="Calibri"/>
      <family val="2"/>
      <scheme val="minor"/>
    </font>
    <font>
      <b/>
      <sz val="12"/>
      <color rgb="FF669947"/>
      <name val="Calibri"/>
      <family val="2"/>
    </font>
    <font>
      <b/>
      <sz val="10"/>
      <color rgb="FFB50043"/>
      <name val="Calibri"/>
      <family val="2"/>
      <scheme val="minor"/>
    </font>
    <font>
      <sz val="10"/>
      <color rgb="FFB50043"/>
      <name val="Calibri"/>
      <family val="2"/>
      <scheme val="minor"/>
    </font>
    <font>
      <b/>
      <sz val="14"/>
      <color rgb="FFB50043"/>
      <name val="Calibri"/>
      <family val="2"/>
      <scheme val="minor"/>
    </font>
    <font>
      <sz val="10"/>
      <name val="Calibri"/>
      <family val="2"/>
      <scheme val="minor"/>
    </font>
    <font>
      <b/>
      <sz val="10"/>
      <name val="Calibri"/>
      <family val="2"/>
      <scheme val="minor"/>
    </font>
    <font>
      <b/>
      <sz val="11"/>
      <color rgb="FFC00000"/>
      <name val="Calibri"/>
      <family val="2"/>
      <scheme val="minor"/>
    </font>
    <font>
      <b/>
      <u/>
      <sz val="11"/>
      <color rgb="FFC00000"/>
      <name val="Calibri"/>
      <family val="2"/>
      <scheme val="minor"/>
    </font>
    <font>
      <sz val="11"/>
      <color rgb="FFC00000"/>
      <name val="Calibri"/>
      <family val="2"/>
      <scheme val="minor"/>
    </font>
    <font>
      <sz val="11"/>
      <name val="Calibri"/>
      <family val="2"/>
      <scheme val="minor"/>
    </font>
    <font>
      <b/>
      <sz val="11"/>
      <name val="Calibri"/>
      <family val="2"/>
      <scheme val="minor"/>
    </font>
    <font>
      <b/>
      <sz val="10"/>
      <color theme="0"/>
      <name val="Calibri"/>
      <family val="2"/>
      <scheme val="minor"/>
    </font>
    <font>
      <sz val="10"/>
      <color indexed="9"/>
      <name val="Arial"/>
      <family val="2"/>
    </font>
    <font>
      <b/>
      <sz val="10"/>
      <name val="Arial"/>
      <family val="2"/>
    </font>
    <font>
      <u/>
      <sz val="11"/>
      <color theme="10"/>
      <name val="Calibri"/>
      <family val="2"/>
      <scheme val="minor"/>
    </font>
    <font>
      <b/>
      <vertAlign val="superscript"/>
      <sz val="11"/>
      <name val="Calibri"/>
      <family val="2"/>
      <scheme val="minor"/>
    </font>
    <font>
      <sz val="8"/>
      <name val="Calibri"/>
      <family val="2"/>
      <scheme val="minor"/>
    </font>
    <font>
      <i/>
      <sz val="10"/>
      <color rgb="FFFF0000"/>
      <name val="Calibri"/>
      <family val="2"/>
      <scheme val="minor"/>
    </font>
    <font>
      <b/>
      <sz val="12"/>
      <color rgb="FFC00000"/>
      <name val="Calibri"/>
      <family val="2"/>
      <scheme val="minor"/>
    </font>
    <font>
      <vertAlign val="superscript"/>
      <sz val="8"/>
      <name val="Calibri"/>
      <family val="2"/>
      <scheme val="minor"/>
    </font>
    <font>
      <i/>
      <sz val="9"/>
      <name val="Calibri"/>
      <family val="2"/>
      <scheme val="minor"/>
    </font>
    <font>
      <i/>
      <sz val="9"/>
      <color theme="1"/>
      <name val="Calibri"/>
      <family val="2"/>
      <scheme val="minor"/>
    </font>
    <font>
      <i/>
      <sz val="9"/>
      <color rgb="FFFF0000"/>
      <name val="Calibri"/>
      <family val="2"/>
      <scheme val="minor"/>
    </font>
    <font>
      <sz val="10"/>
      <color theme="1"/>
      <name val="Calibri"/>
      <family val="2"/>
      <scheme val="minor"/>
    </font>
    <font>
      <b/>
      <sz val="10"/>
      <color theme="1"/>
      <name val="Calibri"/>
      <family val="2"/>
      <scheme val="minor"/>
    </font>
    <font>
      <i/>
      <sz val="11"/>
      <name val="Calibri"/>
      <family val="2"/>
      <scheme val="minor"/>
    </font>
    <font>
      <b/>
      <u/>
      <sz val="12"/>
      <color rgb="FFC00000"/>
      <name val="Calibri"/>
      <family val="2"/>
      <scheme val="minor"/>
    </font>
    <font>
      <b/>
      <sz val="11"/>
      <color theme="0"/>
      <name val="Calibri"/>
      <family val="2"/>
      <scheme val="minor"/>
    </font>
    <font>
      <sz val="8"/>
      <color theme="1"/>
      <name val="Calibri"/>
      <family val="2"/>
      <scheme val="minor"/>
    </font>
    <font>
      <vertAlign val="superscript"/>
      <sz val="8"/>
      <color theme="1"/>
      <name val="Calibri"/>
      <family val="2"/>
      <scheme val="minor"/>
    </font>
    <font>
      <u/>
      <sz val="10"/>
      <color theme="10"/>
      <name val="Calibri"/>
      <family val="2"/>
      <scheme val="minor"/>
    </font>
    <font>
      <i/>
      <sz val="10"/>
      <color theme="1"/>
      <name val="Calibri"/>
      <family val="2"/>
      <scheme val="minor"/>
    </font>
    <font>
      <b/>
      <sz val="12"/>
      <name val="Calibri"/>
      <family val="2"/>
      <scheme val="minor"/>
    </font>
    <font>
      <i/>
      <sz val="10"/>
      <name val="Arial"/>
      <family val="2"/>
    </font>
    <font>
      <i/>
      <sz val="8"/>
      <color theme="1"/>
      <name val="Calibri (Body)"/>
    </font>
    <font>
      <b/>
      <sz val="8"/>
      <name val="Calibri"/>
      <family val="2"/>
      <scheme val="minor"/>
    </font>
    <font>
      <vertAlign val="superscript"/>
      <sz val="10"/>
      <name val="Arial"/>
      <family val="2"/>
    </font>
    <font>
      <b/>
      <vertAlign val="superscript"/>
      <sz val="10"/>
      <color theme="1"/>
      <name val="Calibri"/>
      <family val="2"/>
      <scheme val="minor"/>
    </font>
    <font>
      <vertAlign val="superscript"/>
      <sz val="10"/>
      <color theme="1"/>
      <name val="Calibri"/>
      <family val="2"/>
      <scheme val="minor"/>
    </font>
    <font>
      <i/>
      <sz val="8"/>
      <color theme="1"/>
      <name val="Calibri"/>
      <family val="2"/>
      <scheme val="minor"/>
    </font>
    <font>
      <b/>
      <sz val="8"/>
      <color theme="1"/>
      <name val="Calibri"/>
      <family val="2"/>
      <scheme val="minor"/>
    </font>
    <font>
      <b/>
      <vertAlign val="superscript"/>
      <sz val="8"/>
      <color theme="1"/>
      <name val="Calibri"/>
      <family val="2"/>
      <scheme val="minor"/>
    </font>
    <font>
      <b/>
      <vertAlign val="superscript"/>
      <sz val="8"/>
      <name val="Calibri"/>
      <family val="2"/>
      <scheme val="minor"/>
    </font>
    <font>
      <i/>
      <sz val="11"/>
      <color theme="1"/>
      <name val="Calibri"/>
      <family val="2"/>
      <scheme val="minor"/>
    </font>
    <font>
      <b/>
      <i/>
      <sz val="11"/>
      <color rgb="FFFF0000"/>
      <name val="Calibri"/>
      <family val="2"/>
      <scheme val="minor"/>
    </font>
    <font>
      <b/>
      <vertAlign val="superscript"/>
      <sz val="10"/>
      <name val="Arial"/>
      <family val="2"/>
    </font>
    <font>
      <b/>
      <i/>
      <sz val="9"/>
      <name val="Calibri"/>
      <family val="2"/>
      <scheme val="minor"/>
    </font>
    <font>
      <b/>
      <i/>
      <sz val="9"/>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C00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right style="mediumDashDot">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DashDot">
        <color indexed="64"/>
      </right>
      <top style="medium">
        <color indexed="64"/>
      </top>
      <bottom style="thin">
        <color indexed="64"/>
      </bottom>
      <diagonal/>
    </border>
    <border>
      <left style="mediumDashed">
        <color indexed="64"/>
      </left>
      <right style="mediumDashDot">
        <color indexed="64"/>
      </right>
      <top/>
      <bottom style="thin">
        <color indexed="64"/>
      </bottom>
      <diagonal/>
    </border>
    <border>
      <left style="thin">
        <color indexed="64"/>
      </left>
      <right style="mediumDashDot">
        <color indexed="64"/>
      </right>
      <top style="thin">
        <color indexed="64"/>
      </top>
      <bottom style="medium">
        <color indexed="64"/>
      </bottom>
      <diagonal/>
    </border>
    <border>
      <left/>
      <right style="mediumDashDot">
        <color indexed="64"/>
      </right>
      <top/>
      <bottom style="thin">
        <color indexed="64"/>
      </bottom>
      <diagonal/>
    </border>
    <border>
      <left/>
      <right style="mediumDashDot">
        <color indexed="64"/>
      </right>
      <top/>
      <bottom style="medium">
        <color indexed="64"/>
      </bottom>
      <diagonal/>
    </border>
    <border>
      <left/>
      <right style="mediumDashDot">
        <color indexed="64"/>
      </right>
      <top style="thin">
        <color indexed="64"/>
      </top>
      <bottom/>
      <diagonal/>
    </border>
    <border>
      <left/>
      <right style="thin">
        <color indexed="64"/>
      </right>
      <top/>
      <bottom style="medium">
        <color indexed="64"/>
      </bottom>
      <diagonal/>
    </border>
    <border>
      <left/>
      <right style="mediumDashed">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23" fillId="0" borderId="0" applyNumberFormat="0" applyFill="0" applyBorder="0" applyAlignment="0" applyProtection="0"/>
  </cellStyleXfs>
  <cellXfs count="260">
    <xf numFmtId="0" fontId="0" fillId="0" borderId="0" xfId="0"/>
    <xf numFmtId="0" fontId="7" fillId="0" borderId="0" xfId="5" applyFont="1"/>
    <xf numFmtId="0" fontId="13" fillId="0" borderId="0" xfId="5" applyFont="1"/>
    <xf numFmtId="0" fontId="13" fillId="0" borderId="0" xfId="5" applyFont="1" applyAlignment="1">
      <alignment vertical="center" wrapText="1"/>
    </xf>
    <xf numFmtId="166" fontId="0" fillId="0" borderId="0" xfId="0" applyNumberFormat="1"/>
    <xf numFmtId="0" fontId="0" fillId="0" borderId="4" xfId="0" applyBorder="1"/>
    <xf numFmtId="164" fontId="0" fillId="0" borderId="4" xfId="2" applyNumberFormat="1" applyFont="1" applyBorder="1"/>
    <xf numFmtId="37" fontId="18" fillId="0" borderId="4" xfId="2" applyNumberFormat="1" applyFont="1" applyBorder="1"/>
    <xf numFmtId="0" fontId="4" fillId="4" borderId="4" xfId="0" applyFont="1" applyFill="1" applyBorder="1"/>
    <xf numFmtId="0" fontId="0" fillId="0" borderId="5" xfId="0" applyBorder="1"/>
    <xf numFmtId="6" fontId="0" fillId="0" borderId="5" xfId="0" applyNumberFormat="1" applyBorder="1"/>
    <xf numFmtId="0" fontId="17" fillId="0" borderId="11" xfId="0" applyFont="1" applyBorder="1"/>
    <xf numFmtId="0" fontId="5" fillId="0" borderId="0" xfId="0" applyFont="1"/>
    <xf numFmtId="0" fontId="17" fillId="0" borderId="0" xfId="0" applyFont="1"/>
    <xf numFmtId="0" fontId="26" fillId="0" borderId="0" xfId="0" applyFont="1"/>
    <xf numFmtId="167" fontId="0" fillId="0" borderId="0" xfId="0" applyNumberFormat="1"/>
    <xf numFmtId="0" fontId="20" fillId="4" borderId="0" xfId="4" applyFont="1" applyFill="1"/>
    <xf numFmtId="0" fontId="4" fillId="4" borderId="0" xfId="0" applyFont="1" applyFill="1"/>
    <xf numFmtId="0" fontId="18" fillId="4" borderId="0" xfId="0" applyFont="1" applyFill="1"/>
    <xf numFmtId="164" fontId="0" fillId="0" borderId="0" xfId="2" applyNumberFormat="1" applyFont="1" applyBorder="1"/>
    <xf numFmtId="165" fontId="0" fillId="0" borderId="0" xfId="1" applyNumberFormat="1" applyFont="1" applyBorder="1"/>
    <xf numFmtId="164" fontId="18" fillId="0" borderId="0" xfId="2" applyNumberFormat="1" applyFont="1" applyFill="1" applyBorder="1" applyAlignment="1">
      <alignment horizontal="center"/>
    </xf>
    <xf numFmtId="164" fontId="2" fillId="0" borderId="0" xfId="2" applyNumberFormat="1" applyFont="1" applyBorder="1"/>
    <xf numFmtId="37" fontId="18" fillId="0" borderId="0" xfId="2" applyNumberFormat="1" applyFont="1" applyBorder="1"/>
    <xf numFmtId="39" fontId="18" fillId="0" borderId="0" xfId="2" applyNumberFormat="1" applyFont="1" applyBorder="1"/>
    <xf numFmtId="37" fontId="0" fillId="0" borderId="0" xfId="2" applyNumberFormat="1" applyFont="1" applyBorder="1"/>
    <xf numFmtId="6" fontId="0" fillId="0" borderId="0" xfId="0" applyNumberFormat="1"/>
    <xf numFmtId="0" fontId="18" fillId="0" borderId="0" xfId="0" applyFont="1"/>
    <xf numFmtId="0" fontId="13" fillId="0" borderId="0" xfId="5" applyFont="1" applyAlignment="1">
      <alignment wrapText="1"/>
    </xf>
    <xf numFmtId="0" fontId="3" fillId="0" borderId="0" xfId="0" applyFont="1"/>
    <xf numFmtId="0" fontId="4" fillId="4" borderId="20" xfId="0" applyFont="1" applyFill="1" applyBorder="1"/>
    <xf numFmtId="0" fontId="4" fillId="4" borderId="5" xfId="0" applyFont="1" applyFill="1" applyBorder="1"/>
    <xf numFmtId="167" fontId="4" fillId="4" borderId="0" xfId="0" applyNumberFormat="1" applyFont="1" applyFill="1"/>
    <xf numFmtId="0" fontId="29" fillId="0" borderId="0" xfId="0" applyFont="1"/>
    <xf numFmtId="167" fontId="7" fillId="0" borderId="0" xfId="0" applyNumberFormat="1" applyFont="1"/>
    <xf numFmtId="165" fontId="18" fillId="0" borderId="0" xfId="1" applyNumberFormat="1" applyFont="1" applyBorder="1"/>
    <xf numFmtId="0" fontId="31" fillId="0" borderId="0" xfId="0" applyFont="1"/>
    <xf numFmtId="164" fontId="18" fillId="0" borderId="0" xfId="2" applyNumberFormat="1" applyFont="1" applyBorder="1"/>
    <xf numFmtId="0" fontId="10" fillId="0" borderId="0" xfId="4" applyFont="1" applyAlignment="1">
      <alignment wrapText="1"/>
    </xf>
    <xf numFmtId="0" fontId="11" fillId="0" borderId="0" xfId="5" applyFont="1" applyAlignment="1">
      <alignment wrapText="1"/>
    </xf>
    <xf numFmtId="0" fontId="13" fillId="0" borderId="0" xfId="4" applyFont="1" applyAlignment="1">
      <alignment wrapText="1"/>
    </xf>
    <xf numFmtId="0" fontId="13" fillId="0" borderId="1" xfId="5" applyFont="1" applyBorder="1" applyAlignment="1">
      <alignment wrapText="1"/>
    </xf>
    <xf numFmtId="0" fontId="14" fillId="0" borderId="0" xfId="5" applyFont="1" applyAlignment="1">
      <alignment horizontal="left" wrapText="1"/>
    </xf>
    <xf numFmtId="0" fontId="13" fillId="0" borderId="0" xfId="5" applyFont="1" applyAlignment="1">
      <alignment horizontal="left" wrapText="1"/>
    </xf>
    <xf numFmtId="0" fontId="32" fillId="0" borderId="0" xfId="0" applyFont="1" applyAlignment="1">
      <alignment horizontal="left" wrapText="1"/>
    </xf>
    <xf numFmtId="0" fontId="0" fillId="0" borderId="9" xfId="0" applyBorder="1"/>
    <xf numFmtId="0" fontId="0" fillId="0" borderId="10" xfId="0" applyBorder="1"/>
    <xf numFmtId="0" fontId="0" fillId="0" borderId="21" xfId="0" applyBorder="1" applyAlignment="1">
      <alignment wrapText="1"/>
    </xf>
    <xf numFmtId="0" fontId="0" fillId="0" borderId="22" xfId="0" applyBorder="1"/>
    <xf numFmtId="0" fontId="28" fillId="0" borderId="0" xfId="0" applyFont="1" applyAlignment="1">
      <alignment vertical="top" wrapText="1"/>
    </xf>
    <xf numFmtId="0" fontId="33" fillId="0" borderId="1" xfId="0" applyFont="1" applyBorder="1" applyAlignment="1">
      <alignment horizontal="left" wrapText="1"/>
    </xf>
    <xf numFmtId="0" fontId="14" fillId="0" borderId="1" xfId="5" applyFont="1" applyBorder="1" applyAlignment="1">
      <alignment wrapText="1"/>
    </xf>
    <xf numFmtId="0" fontId="32" fillId="0" borderId="1" xfId="0" applyFont="1" applyBorder="1" applyAlignment="1">
      <alignment horizontal="left" wrapText="1"/>
    </xf>
    <xf numFmtId="0" fontId="13" fillId="0" borderId="1" xfId="5" applyFont="1" applyBorder="1" applyAlignment="1">
      <alignment horizontal="left" wrapText="1"/>
    </xf>
    <xf numFmtId="0" fontId="15" fillId="0" borderId="0" xfId="0" applyFont="1"/>
    <xf numFmtId="0" fontId="15" fillId="0" borderId="17" xfId="0" applyFont="1" applyBorder="1" applyAlignment="1">
      <alignment horizontal="center"/>
    </xf>
    <xf numFmtId="0" fontId="14" fillId="7" borderId="1" xfId="4" applyFont="1" applyFill="1" applyBorder="1" applyAlignment="1">
      <alignment horizontal="center" wrapText="1"/>
    </xf>
    <xf numFmtId="0" fontId="25" fillId="8" borderId="1" xfId="5" applyFont="1" applyFill="1" applyBorder="1" applyAlignment="1">
      <alignment vertical="top" wrapText="1"/>
    </xf>
    <xf numFmtId="0" fontId="25" fillId="0" borderId="1" xfId="5" applyFont="1" applyBorder="1" applyAlignment="1">
      <alignment vertical="top" wrapText="1"/>
    </xf>
    <xf numFmtId="0" fontId="0" fillId="0" borderId="0" xfId="0" applyAlignment="1">
      <alignment wrapText="1"/>
    </xf>
    <xf numFmtId="0" fontId="32" fillId="0" borderId="0" xfId="0" applyFont="1"/>
    <xf numFmtId="10" fontId="32" fillId="0" borderId="0" xfId="3" applyNumberFormat="1" applyFont="1"/>
    <xf numFmtId="0" fontId="39" fillId="0" borderId="0" xfId="6" applyFont="1"/>
    <xf numFmtId="166" fontId="32" fillId="0" borderId="0" xfId="0" applyNumberFormat="1" applyFont="1"/>
    <xf numFmtId="0" fontId="16" fillId="0" borderId="12" xfId="0" applyFont="1" applyBorder="1" applyAlignment="1">
      <alignment horizontal="center"/>
    </xf>
    <xf numFmtId="0" fontId="15" fillId="0" borderId="12" xfId="0" applyFont="1" applyBorder="1" applyAlignment="1">
      <alignment horizontal="center"/>
    </xf>
    <xf numFmtId="0" fontId="15" fillId="0" borderId="12" xfId="0" applyFont="1" applyBorder="1" applyAlignment="1">
      <alignment horizontal="center" vertical="top" wrapText="1"/>
    </xf>
    <xf numFmtId="0" fontId="19" fillId="0" borderId="29" xfId="0" applyFont="1" applyBorder="1" applyAlignment="1">
      <alignment wrapText="1"/>
    </xf>
    <xf numFmtId="0" fontId="0" fillId="0" borderId="28" xfId="0" applyBorder="1"/>
    <xf numFmtId="0" fontId="36" fillId="4" borderId="0" xfId="4" applyFont="1" applyFill="1" applyAlignment="1">
      <alignment wrapText="1"/>
    </xf>
    <xf numFmtId="0" fontId="18" fillId="0" borderId="0" xfId="5" applyFont="1" applyAlignment="1">
      <alignment wrapText="1"/>
    </xf>
    <xf numFmtId="0" fontId="18" fillId="0" borderId="0" xfId="5" applyFont="1" applyAlignment="1">
      <alignment horizontal="left" vertical="top" wrapText="1"/>
    </xf>
    <xf numFmtId="167" fontId="0" fillId="0" borderId="12" xfId="0" applyNumberFormat="1" applyBorder="1" applyAlignment="1">
      <alignment horizontal="center"/>
    </xf>
    <xf numFmtId="3" fontId="0" fillId="0" borderId="12" xfId="0" applyNumberFormat="1" applyBorder="1" applyAlignment="1">
      <alignment horizontal="center"/>
    </xf>
    <xf numFmtId="167" fontId="3" fillId="6" borderId="12" xfId="0" applyNumberFormat="1" applyFont="1" applyFill="1" applyBorder="1" applyAlignment="1">
      <alignment horizontal="center"/>
    </xf>
    <xf numFmtId="167" fontId="3" fillId="6" borderId="15" xfId="0" applyNumberFormat="1" applyFont="1" applyFill="1" applyBorder="1" applyAlignment="1">
      <alignment horizontal="center"/>
    </xf>
    <xf numFmtId="167" fontId="3" fillId="6" borderId="27" xfId="0" applyNumberFormat="1" applyFont="1" applyFill="1" applyBorder="1" applyAlignment="1">
      <alignment horizontal="center"/>
    </xf>
    <xf numFmtId="0" fontId="0" fillId="0" borderId="0" xfId="0" applyAlignment="1">
      <alignment vertical="center" wrapText="1"/>
    </xf>
    <xf numFmtId="0" fontId="0" fillId="0" borderId="0" xfId="0" applyAlignment="1">
      <alignment horizontal="left" vertical="center" wrapText="1"/>
    </xf>
    <xf numFmtId="44" fontId="0" fillId="0" borderId="0" xfId="2" applyFont="1" applyBorder="1"/>
    <xf numFmtId="37" fontId="18" fillId="0" borderId="4" xfId="2" applyNumberFormat="1" applyFont="1" applyFill="1" applyBorder="1"/>
    <xf numFmtId="164" fontId="1" fillId="0" borderId="0" xfId="2" applyNumberFormat="1" applyFont="1" applyBorder="1"/>
    <xf numFmtId="0" fontId="0" fillId="4" borderId="0" xfId="0" applyFill="1"/>
    <xf numFmtId="0" fontId="0" fillId="4" borderId="5" xfId="0" applyFill="1" applyBorder="1"/>
    <xf numFmtId="39" fontId="1" fillId="0" borderId="0" xfId="2" applyNumberFormat="1" applyFont="1" applyBorder="1"/>
    <xf numFmtId="39" fontId="18" fillId="0" borderId="4" xfId="2" applyNumberFormat="1" applyFont="1" applyBorder="1"/>
    <xf numFmtId="37" fontId="1" fillId="0" borderId="0" xfId="2" applyNumberFormat="1" applyFont="1" applyBorder="1"/>
    <xf numFmtId="0" fontId="32" fillId="2" borderId="0" xfId="0" applyFont="1" applyFill="1" applyAlignment="1">
      <alignment wrapText="1"/>
    </xf>
    <xf numFmtId="0" fontId="0" fillId="0" borderId="0" xfId="0" applyAlignment="1">
      <alignment vertical="top" wrapText="1"/>
    </xf>
    <xf numFmtId="0" fontId="13" fillId="0" borderId="19" xfId="5" applyFont="1" applyBorder="1"/>
    <xf numFmtId="0" fontId="0" fillId="0" borderId="19" xfId="0" applyBorder="1"/>
    <xf numFmtId="0" fontId="18" fillId="0" borderId="19" xfId="0" applyFont="1" applyBorder="1"/>
    <xf numFmtId="167" fontId="0" fillId="0" borderId="19" xfId="0" applyNumberFormat="1" applyBorder="1"/>
    <xf numFmtId="0" fontId="41" fillId="10" borderId="17" xfId="0" applyFont="1" applyFill="1" applyBorder="1" applyAlignment="1">
      <alignment horizontal="center" wrapText="1"/>
    </xf>
    <xf numFmtId="0" fontId="19" fillId="0" borderId="30" xfId="0" applyFont="1" applyBorder="1" applyAlignment="1">
      <alignment horizontal="center" wrapText="1"/>
    </xf>
    <xf numFmtId="0" fontId="19" fillId="0" borderId="28" xfId="0" applyFont="1" applyBorder="1" applyAlignment="1">
      <alignment horizontal="center" wrapText="1"/>
    </xf>
    <xf numFmtId="0" fontId="15" fillId="0" borderId="28" xfId="0" applyFont="1" applyBorder="1" applyAlignment="1">
      <alignment horizontal="center" wrapText="1"/>
    </xf>
    <xf numFmtId="0" fontId="27" fillId="0" borderId="31" xfId="0" applyFont="1" applyBorder="1" applyAlignment="1">
      <alignment horizontal="center" wrapText="1"/>
    </xf>
    <xf numFmtId="0" fontId="19" fillId="0" borderId="29" xfId="0" applyFont="1" applyBorder="1" applyAlignment="1">
      <alignment horizontal="center" wrapText="1"/>
    </xf>
    <xf numFmtId="0" fontId="16" fillId="0" borderId="32" xfId="0" applyFont="1" applyBorder="1" applyAlignment="1">
      <alignment horizontal="center"/>
    </xf>
    <xf numFmtId="0" fontId="15" fillId="0" borderId="32" xfId="0" applyFont="1" applyBorder="1" applyAlignment="1">
      <alignment horizontal="center"/>
    </xf>
    <xf numFmtId="0" fontId="15" fillId="0" borderId="32" xfId="0" applyFont="1" applyBorder="1" applyAlignment="1">
      <alignment horizontal="center" vertical="top" wrapText="1"/>
    </xf>
    <xf numFmtId="167" fontId="0" fillId="0" borderId="32" xfId="0" applyNumberFormat="1" applyBorder="1" applyAlignment="1">
      <alignment horizontal="center"/>
    </xf>
    <xf numFmtId="167" fontId="0" fillId="0" borderId="33" xfId="0" applyNumberFormat="1" applyBorder="1" applyAlignment="1">
      <alignment horizontal="center"/>
    </xf>
    <xf numFmtId="3" fontId="0" fillId="0" borderId="34" xfId="0" applyNumberFormat="1" applyBorder="1" applyAlignment="1">
      <alignment horizontal="center"/>
    </xf>
    <xf numFmtId="167" fontId="0" fillId="0" borderId="36" xfId="0" applyNumberFormat="1" applyBorder="1" applyAlignment="1">
      <alignment horizontal="center"/>
    </xf>
    <xf numFmtId="3" fontId="0" fillId="0" borderId="37" xfId="0" applyNumberFormat="1" applyBorder="1" applyAlignment="1">
      <alignment horizontal="center"/>
    </xf>
    <xf numFmtId="167" fontId="18" fillId="0" borderId="32" xfId="0" applyNumberFormat="1" applyFont="1" applyBorder="1" applyAlignment="1">
      <alignment horizontal="center"/>
    </xf>
    <xf numFmtId="167" fontId="0" fillId="0" borderId="39" xfId="0" applyNumberFormat="1" applyBorder="1" applyAlignment="1">
      <alignment horizontal="center"/>
    </xf>
    <xf numFmtId="3" fontId="0" fillId="0" borderId="32" xfId="0" applyNumberFormat="1" applyBorder="1" applyAlignment="1">
      <alignment horizontal="center"/>
    </xf>
    <xf numFmtId="3" fontId="0" fillId="0" borderId="39" xfId="0" applyNumberFormat="1" applyBorder="1" applyAlignment="1">
      <alignment horizontal="center"/>
    </xf>
    <xf numFmtId="167" fontId="3" fillId="6" borderId="32" xfId="0" applyNumberFormat="1" applyFont="1" applyFill="1" applyBorder="1" applyAlignment="1">
      <alignment horizontal="center"/>
    </xf>
    <xf numFmtId="167" fontId="3" fillId="6" borderId="40" xfId="0" applyNumberFormat="1" applyFont="1" applyFill="1" applyBorder="1" applyAlignment="1">
      <alignment horizontal="center"/>
    </xf>
    <xf numFmtId="167" fontId="3" fillId="6" borderId="41" xfId="0" applyNumberFormat="1" applyFont="1" applyFill="1" applyBorder="1" applyAlignment="1">
      <alignment horizontal="center"/>
    </xf>
    <xf numFmtId="0" fontId="5" fillId="0" borderId="12" xfId="0" applyFont="1" applyBorder="1"/>
    <xf numFmtId="0" fontId="22" fillId="0" borderId="12" xfId="0" applyFont="1" applyBorder="1"/>
    <xf numFmtId="0" fontId="21" fillId="0" borderId="12" xfId="0" applyFont="1" applyBorder="1"/>
    <xf numFmtId="166" fontId="0" fillId="0" borderId="37" xfId="0" applyNumberFormat="1" applyBorder="1" applyAlignment="1">
      <alignment horizontal="center"/>
    </xf>
    <xf numFmtId="166" fontId="0" fillId="0" borderId="34" xfId="0" applyNumberFormat="1" applyBorder="1" applyAlignment="1">
      <alignment horizontal="center"/>
    </xf>
    <xf numFmtId="0" fontId="32" fillId="0" borderId="1" xfId="0" applyFont="1" applyBorder="1" applyAlignment="1">
      <alignment wrapText="1"/>
    </xf>
    <xf numFmtId="2" fontId="32" fillId="0" borderId="1" xfId="0" applyNumberFormat="1" applyFont="1" applyBorder="1"/>
    <xf numFmtId="0" fontId="32" fillId="0" borderId="1" xfId="0" applyFont="1" applyBorder="1"/>
    <xf numFmtId="10" fontId="32" fillId="0" borderId="1" xfId="0" applyNumberFormat="1" applyFont="1" applyBorder="1"/>
    <xf numFmtId="10" fontId="32" fillId="0" borderId="1" xfId="3" applyNumberFormat="1" applyFont="1" applyBorder="1"/>
    <xf numFmtId="168" fontId="32" fillId="0" borderId="1" xfId="3" applyNumberFormat="1" applyFont="1" applyBorder="1"/>
    <xf numFmtId="0" fontId="32" fillId="0" borderId="21" xfId="0" applyFont="1" applyBorder="1" applyAlignment="1">
      <alignment wrapText="1"/>
    </xf>
    <xf numFmtId="2" fontId="32" fillId="0" borderId="21" xfId="0" applyNumberFormat="1" applyFont="1" applyBorder="1"/>
    <xf numFmtId="0" fontId="37" fillId="0" borderId="3" xfId="0" applyFont="1" applyBorder="1" applyAlignment="1">
      <alignment horizontal="left" vertical="top" wrapText="1"/>
    </xf>
    <xf numFmtId="0" fontId="37" fillId="0" borderId="6" xfId="0" applyFont="1" applyBorder="1" applyAlignment="1">
      <alignment horizontal="left" vertical="top" wrapText="1"/>
    </xf>
    <xf numFmtId="0" fontId="32" fillId="0" borderId="21" xfId="0" applyFont="1" applyBorder="1"/>
    <xf numFmtId="10" fontId="32" fillId="0" borderId="21" xfId="3" applyNumberFormat="1" applyFont="1" applyBorder="1"/>
    <xf numFmtId="42" fontId="0" fillId="0" borderId="0" xfId="0" applyNumberFormat="1"/>
    <xf numFmtId="164" fontId="0" fillId="0" borderId="0" xfId="0" applyNumberFormat="1"/>
    <xf numFmtId="164" fontId="0" fillId="0" borderId="5" xfId="0" applyNumberFormat="1" applyBorder="1"/>
    <xf numFmtId="41" fontId="18" fillId="0" borderId="4" xfId="2" applyNumberFormat="1" applyFont="1" applyBorder="1"/>
    <xf numFmtId="41" fontId="0" fillId="0" borderId="0" xfId="2" applyNumberFormat="1" applyFont="1" applyBorder="1"/>
    <xf numFmtId="41" fontId="18" fillId="0" borderId="4" xfId="2" applyNumberFormat="1" applyFont="1" applyFill="1" applyBorder="1"/>
    <xf numFmtId="41" fontId="1" fillId="0" borderId="0" xfId="2" applyNumberFormat="1" applyFont="1" applyBorder="1"/>
    <xf numFmtId="41" fontId="1" fillId="0" borderId="4" xfId="2" applyNumberFormat="1" applyFont="1" applyBorder="1"/>
    <xf numFmtId="42" fontId="1" fillId="0" borderId="0" xfId="0" applyNumberFormat="1" applyFont="1"/>
    <xf numFmtId="41" fontId="18" fillId="0" borderId="0" xfId="2" applyNumberFormat="1" applyFont="1" applyBorder="1"/>
    <xf numFmtId="164" fontId="0" fillId="0" borderId="5" xfId="2" applyNumberFormat="1" applyFont="1" applyBorder="1"/>
    <xf numFmtId="164" fontId="0" fillId="0" borderId="4" xfId="2" applyNumberFormat="1" applyFont="1" applyFill="1" applyBorder="1"/>
    <xf numFmtId="0" fontId="32" fillId="0" borderId="44" xfId="0" applyFont="1" applyBorder="1"/>
    <xf numFmtId="0" fontId="32" fillId="0" borderId="45" xfId="0" applyFont="1" applyBorder="1"/>
    <xf numFmtId="37" fontId="1" fillId="0" borderId="4" xfId="2" applyNumberFormat="1" applyFont="1" applyFill="1" applyBorder="1"/>
    <xf numFmtId="164" fontId="3" fillId="0" borderId="20" xfId="0" applyNumberFormat="1" applyFont="1" applyBorder="1"/>
    <xf numFmtId="0" fontId="36" fillId="4" borderId="20" xfId="0" applyFont="1" applyFill="1" applyBorder="1"/>
    <xf numFmtId="0" fontId="3" fillId="0" borderId="20" xfId="0" applyFont="1" applyBorder="1"/>
    <xf numFmtId="164" fontId="0" fillId="0" borderId="0" xfId="2" applyNumberFormat="1" applyFont="1" applyFill="1" applyBorder="1"/>
    <xf numFmtId="164" fontId="18" fillId="0" borderId="0" xfId="2" applyNumberFormat="1" applyFont="1" applyFill="1" applyBorder="1"/>
    <xf numFmtId="0" fontId="3" fillId="10" borderId="0" xfId="0" applyFont="1" applyFill="1" applyAlignment="1">
      <alignment horizontal="center" wrapText="1"/>
    </xf>
    <xf numFmtId="0" fontId="3" fillId="10" borderId="0" xfId="0" applyFont="1" applyFill="1" applyAlignment="1">
      <alignment horizontal="center"/>
    </xf>
    <xf numFmtId="0" fontId="53" fillId="0" borderId="0" xfId="0" applyFont="1"/>
    <xf numFmtId="0" fontId="0" fillId="3" borderId="38" xfId="0" applyFill="1" applyBorder="1" applyAlignment="1" applyProtection="1">
      <alignment horizontal="center"/>
      <protection locked="0"/>
    </xf>
    <xf numFmtId="0" fontId="0" fillId="3" borderId="35" xfId="0" applyFill="1" applyBorder="1" applyAlignment="1" applyProtection="1">
      <alignment horizontal="center"/>
      <protection locked="0"/>
    </xf>
    <xf numFmtId="3" fontId="0" fillId="3" borderId="38" xfId="0" applyNumberFormat="1" applyFill="1" applyBorder="1" applyAlignment="1" applyProtection="1">
      <alignment horizontal="center"/>
      <protection locked="0"/>
    </xf>
    <xf numFmtId="3" fontId="0" fillId="3" borderId="35" xfId="0" applyNumberFormat="1" applyFill="1" applyBorder="1" applyAlignment="1" applyProtection="1">
      <alignment horizontal="center"/>
      <protection locked="0"/>
    </xf>
    <xf numFmtId="4" fontId="3" fillId="6" borderId="32" xfId="0" applyNumberFormat="1" applyFont="1" applyFill="1" applyBorder="1" applyAlignment="1">
      <alignment horizontal="center"/>
    </xf>
    <xf numFmtId="4" fontId="3" fillId="6" borderId="12" xfId="0" applyNumberFormat="1" applyFont="1" applyFill="1" applyBorder="1" applyAlignment="1">
      <alignment horizontal="center"/>
    </xf>
    <xf numFmtId="165" fontId="0" fillId="0" borderId="0" xfId="1" applyNumberFormat="1" applyFont="1" applyFill="1" applyBorder="1"/>
    <xf numFmtId="164" fontId="18" fillId="0" borderId="2" xfId="2" applyNumberFormat="1" applyFont="1" applyFill="1" applyBorder="1"/>
    <xf numFmtId="44" fontId="18" fillId="0" borderId="0" xfId="2" applyFont="1" applyFill="1" applyBorder="1" applyAlignment="1">
      <alignment horizontal="center"/>
    </xf>
    <xf numFmtId="44" fontId="18" fillId="0" borderId="0" xfId="2" applyFont="1" applyBorder="1"/>
    <xf numFmtId="0" fontId="30" fillId="0" borderId="0" xfId="0" applyFont="1" applyAlignment="1">
      <alignment horizontal="left"/>
    </xf>
    <xf numFmtId="0" fontId="13" fillId="0" borderId="0" xfId="5" applyFont="1" applyAlignment="1">
      <alignment horizontal="left" vertical="top" wrapText="1"/>
    </xf>
    <xf numFmtId="167" fontId="18" fillId="0" borderId="12" xfId="0" applyNumberFormat="1" applyFont="1" applyBorder="1" applyAlignment="1">
      <alignment horizontal="center"/>
    </xf>
    <xf numFmtId="167" fontId="0" fillId="0" borderId="34" xfId="0" applyNumberFormat="1" applyBorder="1" applyAlignment="1">
      <alignment horizontal="center"/>
    </xf>
    <xf numFmtId="0" fontId="15" fillId="0" borderId="0" xfId="0" applyFont="1" applyAlignment="1">
      <alignment horizontal="left"/>
    </xf>
    <xf numFmtId="0" fontId="15" fillId="0" borderId="12" xfId="0" applyFont="1" applyBorder="1" applyAlignment="1">
      <alignment horizontal="left"/>
    </xf>
    <xf numFmtId="0" fontId="3" fillId="2" borderId="0" xfId="0" applyFont="1" applyFill="1"/>
    <xf numFmtId="10" fontId="32" fillId="0" borderId="45" xfId="3" applyNumberFormat="1" applyFont="1" applyBorder="1"/>
    <xf numFmtId="0" fontId="37" fillId="0" borderId="8" xfId="0" applyFont="1" applyBorder="1" applyAlignment="1">
      <alignment horizontal="left" vertical="top" wrapText="1"/>
    </xf>
    <xf numFmtId="0" fontId="37" fillId="0" borderId="0" xfId="0" applyFont="1" applyAlignment="1">
      <alignment horizontal="left" vertical="top" wrapText="1"/>
    </xf>
    <xf numFmtId="0" fontId="30" fillId="0" borderId="11" xfId="0" applyFont="1" applyBorder="1" applyAlignment="1">
      <alignment horizontal="left"/>
    </xf>
    <xf numFmtId="0" fontId="30" fillId="0" borderId="0" xfId="0" applyFont="1" applyAlignment="1">
      <alignment horizontal="left"/>
    </xf>
    <xf numFmtId="0" fontId="30" fillId="0" borderId="11" xfId="0" applyFont="1" applyBorder="1" applyAlignment="1">
      <alignment horizontal="center"/>
    </xf>
    <xf numFmtId="0" fontId="30" fillId="0" borderId="0" xfId="0" applyFont="1" applyAlignment="1">
      <alignment horizontal="center"/>
    </xf>
    <xf numFmtId="0" fontId="29" fillId="0" borderId="0" xfId="0" applyFont="1" applyAlignment="1">
      <alignment horizontal="left" vertical="center" wrapText="1"/>
    </xf>
    <xf numFmtId="0" fontId="18" fillId="0" borderId="0" xfId="0" applyFont="1" applyAlignment="1">
      <alignment horizontal="left" vertical="top" wrapText="1"/>
    </xf>
    <xf numFmtId="0" fontId="22" fillId="6" borderId="11" xfId="0" applyFont="1" applyFill="1" applyBorder="1" applyAlignment="1">
      <alignment horizontal="right"/>
    </xf>
    <xf numFmtId="0" fontId="22" fillId="6" borderId="0" xfId="0" applyFont="1" applyFill="1" applyAlignment="1">
      <alignment horizontal="right"/>
    </xf>
    <xf numFmtId="0" fontId="22" fillId="0" borderId="11" xfId="0" applyFont="1" applyBorder="1" applyAlignment="1">
      <alignment horizontal="left"/>
    </xf>
    <xf numFmtId="0" fontId="22" fillId="0" borderId="0" xfId="0" applyFont="1" applyAlignment="1">
      <alignment horizontal="left"/>
    </xf>
    <xf numFmtId="0" fontId="22" fillId="0" borderId="32" xfId="0" applyFont="1" applyBorder="1" applyAlignment="1">
      <alignment horizontal="left"/>
    </xf>
    <xf numFmtId="0" fontId="15" fillId="0" borderId="7" xfId="0" applyFont="1" applyBorder="1" applyAlignment="1">
      <alignment horizontal="left"/>
    </xf>
    <xf numFmtId="0" fontId="15" fillId="0" borderId="8" xfId="0" applyFont="1" applyBorder="1" applyAlignment="1">
      <alignment horizontal="left"/>
    </xf>
    <xf numFmtId="0" fontId="15" fillId="0" borderId="16" xfId="0" applyFont="1" applyBorder="1" applyAlignment="1">
      <alignment horizontal="left"/>
    </xf>
    <xf numFmtId="0" fontId="5" fillId="0" borderId="26" xfId="0" applyFont="1" applyBorder="1" applyAlignment="1">
      <alignment horizontal="left"/>
    </xf>
    <xf numFmtId="0" fontId="5" fillId="0" borderId="2"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22" fillId="6" borderId="18" xfId="0" applyFont="1" applyFill="1" applyBorder="1" applyAlignment="1">
      <alignment horizontal="right"/>
    </xf>
    <xf numFmtId="0" fontId="22" fillId="6" borderId="19" xfId="0" applyFont="1" applyFill="1" applyBorder="1" applyAlignment="1">
      <alignment horizontal="right"/>
    </xf>
    <xf numFmtId="0" fontId="5" fillId="0" borderId="11" xfId="0" applyFont="1" applyBorder="1" applyAlignment="1">
      <alignment horizontal="left" wrapText="1"/>
    </xf>
    <xf numFmtId="0" fontId="5" fillId="0" borderId="32" xfId="0" applyFont="1" applyBorder="1" applyAlignment="1">
      <alignment horizontal="left"/>
    </xf>
    <xf numFmtId="0" fontId="22" fillId="6" borderId="13" xfId="0" applyFont="1" applyFill="1" applyBorder="1" applyAlignment="1">
      <alignment horizontal="right"/>
    </xf>
    <xf numFmtId="0" fontId="22" fillId="6" borderId="14" xfId="0" applyFont="1" applyFill="1" applyBorder="1" applyAlignment="1">
      <alignment horizontal="right"/>
    </xf>
    <xf numFmtId="0" fontId="18" fillId="0" borderId="0" xfId="0" applyFont="1" applyAlignment="1">
      <alignment horizontal="left"/>
    </xf>
    <xf numFmtId="0" fontId="0" fillId="0" borderId="0" xfId="0" applyAlignment="1">
      <alignment horizontal="center"/>
    </xf>
    <xf numFmtId="0" fontId="0" fillId="0" borderId="0" xfId="0" applyAlignment="1">
      <alignment horizontal="left"/>
    </xf>
    <xf numFmtId="0" fontId="0" fillId="3" borderId="0" xfId="0" applyFill="1" applyAlignment="1">
      <alignment horizontal="left"/>
    </xf>
    <xf numFmtId="0" fontId="18" fillId="0" borderId="13" xfId="0" applyFont="1" applyBorder="1" applyAlignment="1">
      <alignment horizontal="right"/>
    </xf>
    <xf numFmtId="0" fontId="18" fillId="0" borderId="14" xfId="0" applyFont="1" applyBorder="1" applyAlignment="1">
      <alignment horizontal="right"/>
    </xf>
    <xf numFmtId="0" fontId="18" fillId="0" borderId="42" xfId="0" applyFont="1" applyBorder="1" applyAlignment="1">
      <alignment horizontal="right"/>
    </xf>
    <xf numFmtId="0" fontId="19" fillId="0" borderId="11" xfId="0" applyFont="1" applyBorder="1" applyAlignment="1">
      <alignment horizontal="right"/>
    </xf>
    <xf numFmtId="0" fontId="19" fillId="0" borderId="0" xfId="0" applyFont="1" applyAlignment="1">
      <alignment horizontal="right"/>
    </xf>
    <xf numFmtId="0" fontId="19" fillId="0" borderId="43" xfId="0" applyFont="1" applyBorder="1" applyAlignment="1">
      <alignment horizontal="right"/>
    </xf>
    <xf numFmtId="0" fontId="21" fillId="0" borderId="11" xfId="0" applyFont="1" applyBorder="1" applyAlignment="1">
      <alignment horizontal="left"/>
    </xf>
    <xf numFmtId="0" fontId="21" fillId="0" borderId="0" xfId="0" applyFont="1" applyAlignment="1">
      <alignment horizontal="left"/>
    </xf>
    <xf numFmtId="0" fontId="21" fillId="0" borderId="32" xfId="0" applyFont="1" applyBorder="1" applyAlignment="1">
      <alignment horizontal="left"/>
    </xf>
    <xf numFmtId="0" fontId="35" fillId="0" borderId="0" xfId="0" applyFont="1" applyAlignment="1">
      <alignment horizontal="left"/>
    </xf>
    <xf numFmtId="0" fontId="0" fillId="0" borderId="13" xfId="0" applyBorder="1" applyAlignment="1">
      <alignment horizontal="right"/>
    </xf>
    <xf numFmtId="0" fontId="0" fillId="0" borderId="14" xfId="0" applyBorder="1" applyAlignment="1">
      <alignment horizontal="right"/>
    </xf>
    <xf numFmtId="0" fontId="16" fillId="0" borderId="0" xfId="0" applyFont="1" applyAlignment="1">
      <alignment horizontal="left"/>
    </xf>
    <xf numFmtId="0" fontId="6" fillId="0" borderId="0" xfId="4" applyFont="1" applyAlignment="1">
      <alignment horizontal="center" wrapText="1"/>
    </xf>
    <xf numFmtId="0" fontId="8" fillId="0" borderId="0" xfId="4" applyFont="1" applyAlignment="1" applyProtection="1">
      <alignment horizontal="center" vertical="center" wrapText="1"/>
      <protection locked="0"/>
    </xf>
    <xf numFmtId="0" fontId="15" fillId="0" borderId="11" xfId="0" applyFont="1" applyBorder="1" applyAlignment="1">
      <alignment horizontal="right"/>
    </xf>
    <xf numFmtId="0" fontId="15" fillId="0" borderId="0" xfId="0" applyFont="1" applyAlignment="1">
      <alignment horizontal="right"/>
    </xf>
    <xf numFmtId="0" fontId="15" fillId="0" borderId="7" xfId="0" applyFont="1" applyBorder="1" applyAlignment="1">
      <alignment horizontal="right"/>
    </xf>
    <xf numFmtId="0" fontId="15" fillId="0" borderId="8" xfId="0" applyFont="1" applyBorder="1" applyAlignment="1">
      <alignment horizontal="right"/>
    </xf>
    <xf numFmtId="0" fontId="19" fillId="9" borderId="23" xfId="0" applyFont="1" applyFill="1" applyBorder="1" applyAlignment="1">
      <alignment horizontal="center"/>
    </xf>
    <xf numFmtId="0" fontId="19" fillId="9" borderId="24" xfId="0" applyFont="1" applyFill="1" applyBorder="1" applyAlignment="1">
      <alignment horizontal="center"/>
    </xf>
    <xf numFmtId="0" fontId="19" fillId="9" borderId="25" xfId="0" applyFont="1" applyFill="1" applyBorder="1" applyAlignment="1">
      <alignment horizontal="center"/>
    </xf>
    <xf numFmtId="0" fontId="16" fillId="0" borderId="0" xfId="0" applyFont="1" applyAlignment="1">
      <alignment horizontal="left" vertical="top"/>
    </xf>
    <xf numFmtId="0" fontId="16" fillId="0" borderId="0" xfId="0" applyFont="1" applyAlignment="1" applyProtection="1">
      <alignment horizontal="left"/>
      <protection locked="0"/>
    </xf>
    <xf numFmtId="0" fontId="19" fillId="0" borderId="0" xfId="0" applyFont="1" applyAlignment="1">
      <alignment horizontal="left"/>
    </xf>
    <xf numFmtId="0" fontId="9" fillId="0" borderId="0" xfId="4" applyFont="1" applyAlignment="1">
      <alignment horizontal="center" wrapText="1"/>
    </xf>
    <xf numFmtId="0" fontId="0" fillId="0" borderId="0" xfId="0"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xf>
    <xf numFmtId="0" fontId="19" fillId="10" borderId="3" xfId="0" applyFont="1" applyFill="1" applyBorder="1" applyAlignment="1">
      <alignment horizontal="center" wrapText="1"/>
    </xf>
    <xf numFmtId="0" fontId="19" fillId="10" borderId="2" xfId="0" applyFont="1" applyFill="1" applyBorder="1" applyAlignment="1">
      <alignment horizontal="center"/>
    </xf>
    <xf numFmtId="0" fontId="19" fillId="10" borderId="6" xfId="0" applyFont="1" applyFill="1" applyBorder="1" applyAlignment="1">
      <alignment horizontal="center"/>
    </xf>
    <xf numFmtId="0" fontId="19" fillId="10" borderId="2" xfId="0" applyFont="1" applyFill="1" applyBorder="1" applyAlignment="1">
      <alignment horizontal="center" wrapText="1"/>
    </xf>
    <xf numFmtId="0" fontId="19" fillId="10" borderId="6" xfId="0" applyFont="1" applyFill="1" applyBorder="1" applyAlignment="1">
      <alignment horizontal="center" wrapText="1"/>
    </xf>
    <xf numFmtId="0" fontId="3" fillId="10" borderId="0" xfId="0" applyFont="1" applyFill="1" applyAlignment="1">
      <alignment horizontal="left"/>
    </xf>
    <xf numFmtId="0" fontId="33" fillId="5" borderId="1" xfId="0" applyFont="1" applyFill="1" applyBorder="1" applyAlignment="1">
      <alignment horizontal="left"/>
    </xf>
    <xf numFmtId="0" fontId="33" fillId="5" borderId="1" xfId="0" applyFont="1" applyFill="1" applyBorder="1" applyAlignment="1">
      <alignment horizontal="left" vertical="top" wrapText="1"/>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37" fillId="0" borderId="3" xfId="0" applyFont="1" applyBorder="1" applyAlignment="1">
      <alignment horizontal="left" vertical="top" wrapText="1"/>
    </xf>
    <xf numFmtId="0" fontId="37" fillId="0" borderId="6" xfId="0" applyFont="1" applyBorder="1" applyAlignment="1">
      <alignment horizontal="left" vertical="top" wrapText="1"/>
    </xf>
    <xf numFmtId="0" fontId="37" fillId="0" borderId="44" xfId="0" applyFont="1" applyBorder="1" applyAlignment="1">
      <alignment horizontal="left" vertical="top" wrapText="1"/>
    </xf>
    <xf numFmtId="0" fontId="37" fillId="0" borderId="45" xfId="0" applyFont="1" applyBorder="1" applyAlignment="1">
      <alignment horizontal="left" vertical="top" wrapText="1"/>
    </xf>
    <xf numFmtId="0" fontId="25" fillId="0" borderId="44" xfId="6" applyFont="1" applyFill="1" applyBorder="1" applyAlignment="1">
      <alignment horizontal="left" vertical="top" wrapText="1"/>
    </xf>
    <xf numFmtId="0" fontId="25" fillId="0" borderId="45" xfId="6" applyFont="1" applyFill="1" applyBorder="1" applyAlignment="1">
      <alignment horizontal="left" vertical="top" wrapText="1"/>
    </xf>
    <xf numFmtId="0" fontId="25" fillId="0" borderId="4" xfId="6" applyFont="1" applyFill="1" applyBorder="1" applyAlignment="1">
      <alignment horizontal="left" vertical="top" wrapText="1"/>
    </xf>
    <xf numFmtId="0" fontId="25" fillId="0" borderId="5" xfId="6" applyFont="1" applyFill="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3" xfId="0" applyFont="1" applyBorder="1" applyAlignment="1">
      <alignment horizontal="left" vertical="top" wrapText="1"/>
    </xf>
    <xf numFmtId="0" fontId="25" fillId="0" borderId="6" xfId="0" applyFont="1" applyBorder="1" applyAlignment="1">
      <alignment horizontal="left" vertical="top" wrapText="1"/>
    </xf>
    <xf numFmtId="0" fontId="32" fillId="5" borderId="1" xfId="0" applyFont="1" applyFill="1" applyBorder="1" applyAlignment="1">
      <alignment horizontal="left" vertical="top" wrapText="1"/>
    </xf>
    <xf numFmtId="0" fontId="10" fillId="0" borderId="0" xfId="4" applyFont="1" applyAlignment="1">
      <alignment horizontal="left" wrapText="1"/>
    </xf>
    <xf numFmtId="0" fontId="12" fillId="0" borderId="0" xfId="5" applyFont="1" applyAlignment="1">
      <alignment horizontal="center" wrapText="1"/>
    </xf>
    <xf numFmtId="0" fontId="11" fillId="0" borderId="0" xfId="5" applyFont="1" applyAlignment="1">
      <alignment horizontal="center" wrapText="1"/>
    </xf>
    <xf numFmtId="0" fontId="10" fillId="0" borderId="2" xfId="4" applyFont="1" applyBorder="1" applyAlignment="1">
      <alignment horizontal="left" wrapText="1"/>
    </xf>
    <xf numFmtId="0" fontId="13" fillId="0" borderId="0" xfId="5" applyFont="1" applyAlignment="1">
      <alignment horizontal="left" vertical="top" wrapText="1"/>
    </xf>
  </cellXfs>
  <cellStyles count="7">
    <cellStyle name="Comma" xfId="1" builtinId="3"/>
    <cellStyle name="Currency" xfId="2" builtinId="4"/>
    <cellStyle name="Hyperlink" xfId="6" builtinId="8"/>
    <cellStyle name="Normal" xfId="0" builtinId="0"/>
    <cellStyle name="Normal 2" xfId="4" xr:uid="{8AA9AAFE-8C24-4514-8B07-3180DA6A2CAA}"/>
    <cellStyle name="Normal 4" xfId="5" xr:uid="{F2C1BA45-335D-42EE-83FB-E57D81994FF0}"/>
    <cellStyle name="Percent" xfId="3" builtinId="5"/>
  </cellStyles>
  <dxfs count="8">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Lists!$B$20" fmlaRange="Lists!$C$20:$C$24" noThreeD="1" sel="3" val="0"/>
</file>

<file path=xl/ctrlProps/ctrlProp2.xml><?xml version="1.0" encoding="utf-8"?>
<formControlPr xmlns="http://schemas.microsoft.com/office/spreadsheetml/2009/9/main" objectType="Drop" dropStyle="combo" dx="31" fmlaLink="Lists!$D$20" fmlaRange="List1" noThreeD="1" sel="1" val="0"/>
</file>

<file path=xl/ctrlProps/ctrlProp3.xml><?xml version="1.0" encoding="utf-8"?>
<formControlPr xmlns="http://schemas.microsoft.com/office/spreadsheetml/2009/9/main" objectType="Drop" dropStyle="combo" dx="31" fmlaLink="Lists!$B$30" fmlaRange="Lists!$C$30:$C$34" noThreeD="1" sel="2" val="0"/>
</file>

<file path=xl/ctrlProps/ctrlProp4.xml><?xml version="1.0" encoding="utf-8"?>
<formControlPr xmlns="http://schemas.microsoft.com/office/spreadsheetml/2009/9/main" objectType="Drop" dropStyle="combo" dx="31" fmlaLink="Lists!$D$30" fmlaRange="List2" noThreeD="1" sel="2" val="0"/>
</file>

<file path=xl/ctrlProps/ctrlProp5.xml><?xml version="1.0" encoding="utf-8"?>
<formControlPr xmlns="http://schemas.microsoft.com/office/spreadsheetml/2009/9/main" objectType="Drop" dropStyle="combo" dx="31" fmlaLink="Lists!$B$20" fmlaRange="Lists!$C$20:$C$24" noThreeD="1" sel="3"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935536</xdr:colOff>
      <xdr:row>0</xdr:row>
      <xdr:rowOff>78985</xdr:rowOff>
    </xdr:from>
    <xdr:to>
      <xdr:col>6</xdr:col>
      <xdr:colOff>2331460</xdr:colOff>
      <xdr:row>1</xdr:row>
      <xdr:rowOff>216880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8690" y="78985"/>
          <a:ext cx="1392749" cy="383835"/>
        </a:xfrm>
        <a:prstGeom prst="rect">
          <a:avLst/>
        </a:prstGeom>
      </xdr:spPr>
    </xdr:pic>
    <xdr:clientData/>
  </xdr:twoCellAnchor>
  <xdr:twoCellAnchor editAs="oneCell">
    <xdr:from>
      <xdr:col>5</xdr:col>
      <xdr:colOff>448279</xdr:colOff>
      <xdr:row>0</xdr:row>
      <xdr:rowOff>87081</xdr:rowOff>
    </xdr:from>
    <xdr:to>
      <xdr:col>6</xdr:col>
      <xdr:colOff>732293</xdr:colOff>
      <xdr:row>1</xdr:row>
      <xdr:rowOff>216963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0625" y="87081"/>
          <a:ext cx="887997" cy="3821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41</xdr:row>
          <xdr:rowOff>190500</xdr:rowOff>
        </xdr:from>
        <xdr:to>
          <xdr:col>7</xdr:col>
          <xdr:colOff>857250</xdr:colOff>
          <xdr:row>43</xdr:row>
          <xdr:rowOff>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43</xdr:row>
          <xdr:rowOff>12700</xdr:rowOff>
        </xdr:from>
        <xdr:to>
          <xdr:col>7</xdr:col>
          <xdr:colOff>0</xdr:colOff>
          <xdr:row>43</xdr:row>
          <xdr:rowOff>336550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8</xdr:col>
          <xdr:colOff>0</xdr:colOff>
          <xdr:row>43</xdr:row>
          <xdr:rowOff>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8</xdr:col>
          <xdr:colOff>0</xdr:colOff>
          <xdr:row>43</xdr:row>
          <xdr:rowOff>323850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12700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llen Yeatman" id="{2E62A6FE-FB72-444C-8C1D-A6BAA86A3516}" userId="S::EYeatman@farmland.org::244ca8d0-7bd8-41aa-987c-fa613d680782" providerId="AD"/>
  <person displayName="Ellen Yeatman" id="{9CA6E75F-7464-BE4F-880C-FCFC26F6C399}" userId="S::eyeatman@farmland.org::244ca8d0-7bd8-41aa-987c-fa613d68078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9A410E-E852-413F-A622-66F4ED68C511}" name="Table1_SubCategories" displayName="Table1_SubCategories" ref="B9:F16" totalsRowShown="0" headerRowDxfId="7" dataDxfId="6" headerRowBorderDxfId="5" headerRowCellStyle="Normal 2" dataCellStyle="Normal 4">
  <autoFilter ref="B9:F16" xr:uid="{C19A410E-E852-413F-A622-66F4ED68C511}"/>
  <tableColumns count="5">
    <tableColumn id="1" xr3:uid="{70809E31-05BF-4F6A-BD63-27579DFB3B4A}" name="Evapotranspiration Monitoring" dataDxfId="4" dataCellStyle="Normal 4"/>
    <tableColumn id="2" xr3:uid="{36A89DF7-68E2-4D3C-972F-424F50BF7B95}" name="Irrigation System Performance Monitoring" dataDxfId="3" dataCellStyle="Normal 4"/>
    <tableColumn id="3" xr3:uid="{581B5D77-D2D3-4BBE-BBE7-ED14D4663860}" name="Applied Water Monitoring" dataDxfId="2" dataCellStyle="Normal 4"/>
    <tableColumn id="4" xr3:uid="{5E2E6F89-71F8-4FF8-8D5F-0CF9A5D7B46E}" name="Soil Moisture Monitoring" dataDxfId="1" dataCellStyle="Normal 4"/>
    <tableColumn id="5" xr3:uid="{5585E890-7409-42FA-B816-1CDFAF80D063}" name="Plant Water Status Monitoring" dataDxfId="0" dataCellStyle="Normal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7" dT="2023-03-27T18:01:55.10" personId="{2E62A6FE-FB72-444C-8C1D-A6BAA86A3516}" id="{49B6DB68-908F-4CFB-8085-E0C64CD1EB5F}">
    <text>Example comment</text>
  </threadedComment>
  <threadedComment ref="B46" dT="2023-04-28T15:49:05.10" personId="{2E62A6FE-FB72-444C-8C1D-A6BAA86A3516}" id="{067BF790-F02F-4A10-A3E0-FD060A9DF886}">
    <text>For subscribed services or leased equipment, this value only includes installation price. The annual fee is included in Annual Investments in Repairs &amp; Services.</text>
  </threadedComment>
  <threadedComment ref="B47" dT="2023-03-30T18:59:44.91" personId="{2E62A6FE-FB72-444C-8C1D-A6BAA86A3516}" id="{6F738FFF-038E-4B2C-931D-40D2B041BDC1}">
    <text>If you have your own, more accurate equipment price estimate that you would like to use instead of the default estimated price, you may enter in this row and the calculator will use your price instead of default.</text>
  </threadedComment>
  <threadedComment ref="B48" dT="2023-04-28T19:11:33.37" personId="{2E62A6FE-FB72-444C-8C1D-A6BAA86A3516}" id="{3C0A7E93-CE26-411F-B3BE-49F4561759AE}">
    <text>This refers to the years of useful life for a piece of equipment, or in some cases for a service.</text>
  </threadedComment>
  <threadedComment ref="B49" dT="2023-03-30T19:09:22.30" personId="{2E62A6FE-FB72-444C-8C1D-A6BAA86A3516}" id="{595AC92C-5A13-4E19-A36B-445D1CC18681}">
    <text>If you have a different lifespan estimate that you would like to use instead of the default estimated lifespan, you may enter in this row and the calculator will use that estimate instead of default.</text>
  </threadedComment>
  <threadedComment ref="B50" dT="2023-04-28T19:12:34.06" personId="{2E62A6FE-FB72-444C-8C1D-A6BAA86A3516}" id="{255AB5EE-7E11-4AC7-A567-2F60ED811C15}">
    <text xml:space="preserve">Maintenance labor is the time it takes to maintain any equipment involved with practice (e.g., cleaning out propeller flow meter, removing probe at end of season, changing batteries, etc). Operating labor is the time spent conducting the practice (e.g., taking reading off of soil moisture probes or flow meters or calculating ET). </text>
  </threadedComment>
  <threadedComment ref="B50" dT="2023-04-28T19:12:52.62" personId="{2E62A6FE-FB72-444C-8C1D-A6BAA86A3516}" id="{075B70B7-BF88-4A26-ADEC-D205491E544D}" parentId="{255AB5EE-7E11-4AC7-A567-2F60ED811C15}">
    <text>DOES NOT include transportation time (hours to get to site) as the calculator does not have a way to properly estimate transportation costs. We assume these tasks are completed alongside normal operations.</text>
  </threadedComment>
  <threadedComment ref="B51" dT="2023-03-30T19:10:14.88" personId="{2E62A6FE-FB72-444C-8C1D-A6BAA86A3516}" id="{0B911060-A42B-44D5-AA15-E2D35A164057}">
    <text>If you want to use a different estimated hours per year spent on maintenance and operation, you may enter here and the calculator will use your hours per year instead of default. Maintenance labor is the time it takes to maintain any equipment involved with practice (e.g., cleaning out propeller flow meter, removing probe at end of season, changing batteries, etc). Operating labor is the time spent conducting the practice (e.g., taking reading off of soil moisture probes or flow meters or calculating ET). DO NOT include transportation time (hours to get to site) as the calculator does not have a way to properly estimate transportation costs. We assume these tasks are completed alongside normal operations.</text>
  </threadedComment>
  <threadedComment ref="B53" dT="2023-03-30T19:10:46.15" personId="{2E62A6FE-FB72-444C-8C1D-A6BAA86A3516}" id="{8270ED19-DC51-4975-8CC6-4D30030C16ED}">
    <text>If you want to use a different hourly wage, you may enter in this row and the calculator will use your wage rate instead of default. You must enter your preferred wage twice for each management selection (Column G &amp; H).</text>
  </threadedComment>
  <threadedComment ref="B66" dT="2023-04-28T15:35:58.95" personId="{2E62A6FE-FB72-444C-8C1D-A6BAA86A3516}" id="{49A7F5FC-BF0D-461B-BC30-4DA281341A8F}">
    <text>Calculated using either default or user input purchase &amp; installation price, lifespan, and labor wage rate.</text>
  </threadedComment>
  <threadedComment ref="B66" dT="2023-04-28T19:15:03.14" personId="{2E62A6FE-FB72-444C-8C1D-A6BAA86A3516}" id="{572FC398-B8EF-4116-82CB-7E8866485CFE}" parentId="{49A7F5FC-BF0D-461B-BC30-4DA281341A8F}">
    <text>Capital recovery is the amount of money required each year to recover the difference between the purchase price and salvage value (unrecovered capital). It is the equivalent to the annual payment on a loan for the investment with the down payment equal to the discounted salvage value taking into account the time value of money (lifespan of equipment) (Duncan et al., 2019).</text>
  </threadedComment>
  <threadedComment ref="B67" dT="2023-04-28T19:15:29.67" personId="{2E62A6FE-FB72-444C-8C1D-A6BAA86A3516}" id="{0F2E01E9-8DCC-4BAB-AA84-4D2067C30A7D}">
    <text>This refers to:
1) property insurance for farm investments, providing coverage for property loss charged at 0.846% of the average value of the assets over their useful life (Niederholzer et al., 2022); and
2) property tax which counties charge a base rate of 1% of assessed value of the property. This annual tax is included if the practice improves the property value and calculated as 1% of average value of property (Niederholzer et al., 2022).</text>
  </threadedComment>
  <threadedComment ref="B68" dT="2023-04-28T19:25:24.34" personId="{2E62A6FE-FB72-444C-8C1D-A6BAA86A3516}" id="{34FE99C4-E6EC-4C61-9E40-9234AC8ACBC7}">
    <text xml:space="preserve">Annual investment in repairs and services refers to annual maintenance for equipment upkeep that inevitably has to occur and/or annual service subscribed to for non-equipment related practices. Annual maintenance of equipment is assumed to be 2% of purchase price unless more accurate data is available (Duncan et al., 2019). In some cases, there are added or substituted annual maintenance costs  if significant, see 'Economic Cost Data' tab for details.
</text>
  </threadedComment>
  <threadedComment ref="B72" dT="2023-04-28T19:25:48.18" personId="{2E62A6FE-FB72-444C-8C1D-A6BAA86A3516}" id="{F1D51703-8110-431E-B860-81C6029E1211}">
    <text>Maintenance labor is the time it takes to maintain any equipment involved with practice (e.g., cleaning out propeller flow meter, removing probe at end of season, changing batteries, etc).</text>
  </threadedComment>
  <threadedComment ref="B72" dT="2023-04-28T19:26:26.96" personId="{2E62A6FE-FB72-444C-8C1D-A6BAA86A3516}" id="{B406A82B-5767-4721-AE22-8BA263D1C4F9}" parentId="{F1D51703-8110-431E-B860-81C6029E1211}">
    <text>DOES NOT include transportation time (hours to get to site) as the calculator does not have a way to properly estimate transportation costs. We assume these tasks are completed alongside normal operations.</text>
  </threadedComment>
  <threadedComment ref="B73" dT="2023-04-28T19:26:11.88" personId="{2E62A6FE-FB72-444C-8C1D-A6BAA86A3516}" id="{3DB56AFD-46D5-4ABC-B09E-10D8D99DFA4F}">
    <text>Operating labor is the time spent conducting the practice (e.g., taking reading off of soil moisture probes or flow meters or calculating ET).</text>
  </threadedComment>
  <threadedComment ref="B73" dT="2023-04-28T19:26:32.30" personId="{2E62A6FE-FB72-444C-8C1D-A6BAA86A3516}" id="{ADFFF7AD-3CBD-4443-B3AE-7E3C9253DC21}" parentId="{3DB56AFD-46D5-4ABC-B09E-10D8D99DFA4F}">
    <text>DOES NOT include transportation time (hours to get to site) as the calculator does not have a way to properly estimate transportation costs. We assume these tasks are completed alongside normal operations.</text>
  </threadedComment>
  <threadedComment ref="B74" dT="2023-04-28T17:08:01.21" personId="{2E62A6FE-FB72-444C-8C1D-A6BAA86A3516}" id="{06F42F04-6520-4791-81BF-317CBD79C49B}">
    <text>Calculated using default or user-inputted labor wage rate multiplied by total labor hours per year.</text>
  </threadedComment>
  <threadedComment ref="B77" dT="2023-04-28T16:45:41.70" personId="{2E62A6FE-FB72-444C-8C1D-A6BAA86A3516}" id="{D8C5C14F-5DF3-4A01-813B-9DA6C6F1451F}">
    <text>Frequency is based on length of irrigation season (210 days, 30 weeks, 8 months). See "Basic Data"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O1" dT="2023-04-23T16:38:29.42" personId="{2E62A6FE-FB72-444C-8C1D-A6BAA86A3516}" id="{226673F6-8F99-48F8-B1C2-38D11D8FF801}">
    <text>Adds together values in red text.</text>
  </threadedComment>
  <threadedComment ref="B2" dT="2023-04-06T22:26:41.02" personId="{2E62A6FE-FB72-444C-8C1D-A6BAA86A3516}" id="{D5ECA9A6-4A66-42DA-BBE1-8C6363CEDF03}">
    <text>This is the average market value in California for associated equipment required by practice. Estimates are based on a range of market values provided by irrigation system vendors (columns P &amp; Q). Includes an additional 2.25% sales tax (CA farm equipment is exempt from portion of state sales tax). Services do not include a sales tax.</text>
  </threadedComment>
  <threadedComment ref="C2" dT="2023-04-23T22:51:41.02" personId="{2E62A6FE-FB72-444C-8C1D-A6BAA86A3516}" id="{0AE7B7F7-E84D-4EC8-AA77-33ABBE92FF39}">
    <text>This is the average market value in California for associated equipment installations. No cost if no equipment installation involved. If market values were not available, used estimated labor hours for installation.</text>
  </threadedComment>
  <threadedComment ref="C2" dT="2023-04-24T16:18:34.24" personId="{2E62A6FE-FB72-444C-8C1D-A6BAA86A3516}" id="{DE9B29FB-3BBF-4B89-880A-49F6FC9991EA}" parentId="{0AE7B7F7-E84D-4EC8-AA77-33ABBE92FF39}">
    <text>This estimate DOES NOT include transportation time (hours to get to site) as the calculator does not have a way to properly estimate transportation costs. We assume these tasks are completed alongside normal operations, or the cost is the market value of hiring someone to install the equipment.</text>
  </threadedComment>
  <threadedComment ref="D2" dT="2023-03-31T17:08:19.86" personId="{2E62A6FE-FB72-444C-8C1D-A6BAA86A3516}" id="{6CF16661-DC76-4207-A981-AA9164B47226}">
    <text>The lifespan is years of useful life for a physical asset. For non-equipment practices, input number of years a measurement is good for.</text>
  </threadedComment>
  <threadedComment ref="E2" dT="2023-03-27T20:19:34.24" personId="{2E62A6FE-FB72-444C-8C1D-A6BAA86A3516}" id="{E92312DD-3D0A-4EDD-BD77-6A15D6DAEC58}">
    <text>"Salvage value is an estimate of the remaining value of an investment at the end of its useful life." Assumed to be 7% of purchase price based on Niederholzer et al., 2022.</text>
  </threadedComment>
  <threadedComment ref="E2" dT="2023-04-23T23:46:20.24" personId="{2E62A6FE-FB72-444C-8C1D-A6BAA86A3516}" id="{D479026D-5577-4896-A964-D84D901D2093}" parentId="{E92312DD-3D0A-4EDD-BD77-6A15D6DAEC58}">
    <text>The formulas for salvage value is: (Purchase Price * 0.07)</text>
  </threadedComment>
  <threadedComment ref="F2" dT="2023-04-23T21:47:49.33" personId="{2E62A6FE-FB72-444C-8C1D-A6BAA86A3516}" id="{12369156-0B56-400E-9115-1C52944F1CD2}">
    <text>"Capital recovery cost is the annual depreciation and interest costs for a capital investment. It is the amount of money required each year to recover the difference between the purchase prices and salvage value (unrecovered capital). It is the equivalent to the annual payment on a loan for the investment with the down payment equal to the discounted salvage value... [taking into account] the time value of money." (Duncan et al., 2019)</text>
  </threadedComment>
  <threadedComment ref="F2" dT="2023-04-23T21:48:01.84" personId="{2E62A6FE-FB72-444C-8C1D-A6BAA86A3516}" id="{3CD635C9-1244-4D20-B20F-C4E731677A9A}" parentId="{12369156-0B56-400E-9115-1C52944F1CD2}">
    <text>The formula for capital recovery cost (CRC) is: (Interest Rate/(1-(1+I.R.)^(-Lifespan)))*(Purchase Price + Installation Cost – Salvage Value) + Salvage Value x Interest Rate.</text>
  </threadedComment>
  <threadedComment ref="F2" dT="2023-04-24T17:16:22.09" personId="{2E62A6FE-FB72-444C-8C1D-A6BAA86A3516}" id="{691BDC17-5D6B-431A-84B9-CBE6D1B53D17}" parentId="{12369156-0B56-400E-9115-1C52944F1CD2}">
    <text>Interest rate is assumed to be 6.5% based on Niederholzer et al., 2022, but can be edited on 'Basic Data' tab as desired.</text>
  </threadedComment>
  <threadedComment ref="G2" dT="2023-04-06T18:20:22.83" personId="{2E62A6FE-FB72-444C-8C1D-A6BAA86A3516}" id="{288178AF-16C1-45B8-8C72-F0872DC0B7F4}">
    <text>This refers to property insurance for farm investments, providing coverage for property loss charged at 0.846% of the average value of the assets over their useful life (Niederholzer et al., 2022).</text>
  </threadedComment>
  <threadedComment ref="G2" dT="2023-04-23T23:47:22.96" personId="{2E62A6FE-FB72-444C-8C1D-A6BAA86A3516}" id="{CC7D294F-FFB3-4142-B69A-85308B964C7F}" parentId="{288178AF-16C1-45B8-8C72-F0872DC0B7F4}">
    <text>The formula for annual property insurance is: (0.00846*((Purchase Price + Salvage Value)/2))</text>
  </threadedComment>
  <threadedComment ref="H2" dT="2023-03-30T20:55:39.05" personId="{2E62A6FE-FB72-444C-8C1D-A6BAA86A3516}" id="{C369D6E7-02F2-4965-9571-4A0F3A48C35F}">
    <text>This refers to property tax which counties charge a base rate of 1% of assessed value of the property. This annual tax is included if the practice improves the property value; only included for more permanent investments (automated systems). Calculated as 1% of average value of property (Niederholzer et al., 2022).</text>
  </threadedComment>
  <threadedComment ref="I2" dT="2023-03-27T20:19:53.57" personId="{2E62A6FE-FB72-444C-8C1D-A6BAA86A3516}" id="{0A92CF69-8D87-4FD8-BF4E-70368FA8B7F6}">
    <text>Annual investment in repairs and services refers to annual maintenance for equipment upkeep that inevitably has to occur and/or annual service subscribed to for non-equipment related practices. Annual maintenance of equipment is assumed to be 2% of purchase price unless more accurate data is available (Duncan et al., 2019). There are added annual maintenance costs  if substantial.</text>
  </threadedComment>
  <threadedComment ref="J2" dT="2023-04-24T00:42:42.04" personId="{2E62A6FE-FB72-444C-8C1D-A6BAA86A3516}" id="{536C7C59-09FA-4282-85EA-012E60D18FD6}">
    <text>Maintenance labor is the time it takes to maintain any equipment involved with practice (e.g., cleaning out propeller flow meter, removing probe at end of season, changing batteries, etc). When there is no equipment invovled, maintenance is assumed to be zero. Estimated hours are based on conversation with vendors, growers, and irrigation specialists. This estimate DOES NOT include transportation time (hours to get to site) as the calculator does not have a way to properly estimate transportation costs. We assume these tasks are completed alongside normal operations.</text>
  </threadedComment>
  <threadedComment ref="K2" dT="2023-03-31T16:17:02.67" personId="{2E62A6FE-FB72-444C-8C1D-A6BAA86A3516}" id="{C97F7A6A-2614-46F3-9BD8-4ED8F9718768}">
    <text>Measurement frequency is the number of times in a year that a grower should be conducting this monitoring practice and is defined by the Almond Board of California's Irrigation Improvement Continuum and only occurs during the irrigation season, which is assumed to be mid-March to mid-October, which is 8 months, 30 weeks, or 210 days (see 'Basic Data' tab).</text>
  </threadedComment>
  <threadedComment ref="L2" dT="2023-04-24T16:14:16.82" personId="{2E62A6FE-FB72-444C-8C1D-A6BAA86A3516}" id="{1AFAD4AF-4914-4110-B42F-A54455245B85}">
    <text>Hours per measurement is the time it takes to conduct the monitoring practice (e.g., determine ETc, pressure, flow, soil moisture, and plant-water status). These estimates are based on interviews with irrigation specialists and growers. This does not include the time it takes to use this data to adjust irrigation scheduling as we assume that occurs consistently across all practices.</text>
  </threadedComment>
  <threadedComment ref="L2" dT="2023-04-24T16:40:26.17" personId="{2E62A6FE-FB72-444C-8C1D-A6BAA86A3516}" id="{D281BCEF-C9D6-4607-BCFB-1E4F96CBC0E4}" parentId="{1AFAD4AF-4914-4110-B42F-A54455245B85}">
    <text>Assuming no time required at advanced levels where equipment is uploading measurements to cellular data.</text>
  </threadedComment>
  <threadedComment ref="M2" dT="2023-04-24T00:46:28.75" personId="{2E62A6FE-FB72-444C-8C1D-A6BAA86A3516}" id="{7C2E5D54-6C07-4D79-B10F-785D27964955}">
    <text>Operating labor is the time spent conducting the practice (e.g., taking reading off of soil moisture probes or flow meters or calculating ET). This estimate DOES NOT include transportation time (hours to get to site) as the calculator does not have a way to properly estimate transportation costs. We assume these tasks are completed alongside normal operations.</text>
  </threadedComment>
  <threadedComment ref="M2" dT="2023-04-24T00:50:26.17" personId="{2E62A6FE-FB72-444C-8C1D-A6BAA86A3516}" id="{FB5D2C05-3636-4684-B372-0D6ECC480966}" parentId="{7C2E5D54-6C07-4D79-B10F-785D27964955}">
    <text>Calculated based on the measurement frequency and hours per measurement (Columns K * L).</text>
  </threadedComment>
  <threadedComment ref="N2" dT="2023-04-24T16:16:44.41" personId="{2E62A6FE-FB72-444C-8C1D-A6BAA86A3516}" id="{FF44807E-7C8B-4312-8E68-3981F2FDE896}">
    <text>Total monitoring labor cost is the sum of maintenance and operating labor hours multiplied by the default wage rate (see 'Basic Data' tab). This is a way to estimate the economic cost of maintaining and operating any equipment involved or solely the operational time it takes a grower to take the measurement involved in the monitoring practice.</text>
  </threadedComment>
  <threadedComment ref="I5" dT="2023-04-06T23:03:39.47" personId="{2E62A6FE-FB72-444C-8C1D-A6BAA86A3516}" id="{3B9EF44A-316C-4DE7-87E6-C69F6F7A3D34}">
    <text>Annual subscription for weekly email with current and forecasted ETc</text>
  </threadedComment>
  <threadedComment ref="L5" dT="2023-04-24T16:36:27.10" personId="{2E62A6FE-FB72-444C-8C1D-A6BAA86A3516}" id="{A873AD00-A6CB-4F2F-A669-A7E3F2859BF5}">
    <text>Assuming paying a service to share this data via email (not calculating themselves)</text>
  </threadedComment>
  <threadedComment ref="I6" dT="2023-04-22T17:11:52.11" personId="{9CA6E75F-7464-BE4F-880C-FCFC26F6C399}" id="{B4821502-C9E1-F94F-B09E-776C6C9BD583}">
    <text>Assume 2% of purchase price for annual repairs/maint. because it is so variable how often have to replace battery, type of battery, mechanical parts replacements, etc; added $600/year for cellular data &amp; API, which includes data logging and analysis, based on market value estimates from vendors.</text>
  </threadedComment>
  <threadedComment ref="J6" dT="2023-04-22T17:09:34.22" personId="{9CA6E75F-7464-BE4F-880C-FCFC26F6C399}" id="{BD4B6CC6-367C-1F48-BE53-B250AAF1DB96}">
    <text>Assume 0.5 hour/month for checking for physical damage.</text>
  </threadedComment>
  <threadedComment ref="P6" dT="2023-04-24T16:33:04.94" personId="{2E62A6FE-FB72-444C-8C1D-A6BAA86A3516}" id="{15090992-44FD-423E-9A2C-CEB4BD2E0B32}">
    <text>Includes data logger ($995), hardware activation fee ($35), and mounting kit ($175)</text>
  </threadedComment>
  <threadedComment ref="Q6" dT="2023-04-24T16:34:20.10" personId="{2E62A6FE-FB72-444C-8C1D-A6BAA86A3516}" id="{E8FA6D33-34E5-4D56-B315-1C11AD531FA8}">
    <text>Includes data logger ($995), hardware activation fee ($35), and mounting kit ($175)</text>
  </threadedComment>
  <threadedComment ref="B7" dT="2023-04-24T00:07:00.57" personId="{2E62A6FE-FB72-444C-8C1D-A6BAA86A3516}" id="{3945973F-A04E-4B10-B059-A8D1D65646FB}">
    <text>No price included because this practice does not involve owning the associated equipment, but leasing it. The cost of this service is included as an "Annual Investment Repairs &amp; Services" because it is an annual fee.</text>
  </threadedComment>
  <threadedComment ref="I7" dT="2023-04-22T17:50:54.85" personId="{9CA6E75F-7464-BE4F-880C-FCFC26F6C399}" id="{0DD87C02-89D7-E645-A893-288DFA896223}">
    <text>Based on market value estimate from vendors plus 7.25% California sales tax; this service includes repairs, software updates, maintenance, data logging and analysis, etc.</text>
  </threadedComment>
  <threadedComment ref="B10" dT="2023-04-24T00:02:35.39" personId="{2E62A6FE-FB72-444C-8C1D-A6BAA86A3516}" id="{2FEE4AE0-657E-4117-AFA0-40DD5CB14028}">
    <text>Market value for handheld pressure gauge with pitot tube</text>
  </threadedComment>
  <threadedComment ref="I10" dT="2023-04-06T23:06:32.88" personId="{2E62A6FE-FB72-444C-8C1D-A6BAA86A3516}" id="{6B23AE6D-5BF0-624B-9D5F-0998517A6F87}">
    <text>Assume replacing the pressure gauge with pitot tube in the year conducting spot check (Purchase Price divided by 3 years); User could decide to add a $96 annual investment repair estimate from  UC Davis Sample Costs to Produce Almonds budget for the entire irrigation system because a DU test will expose areas of equipment repair/maint/replacement needed, such as new sprinkler heads, etc. (Duncan et al., 2019)</text>
  </threadedComment>
  <threadedComment ref="L10" dT="2023-04-24T16:36:41.54" personId="{2E62A6FE-FB72-444C-8C1D-A6BAA86A3516}" id="{AAD55DC9-9260-48AB-BB9F-D82DDE04A4B4}">
    <text>Based on estimate from irrigation specialists and growers.</text>
  </threadedComment>
  <threadedComment ref="B11" dT="2023-04-24T00:04:00.41" personId="{2E62A6FE-FB72-444C-8C1D-A6BAA86A3516}" id="{86CC3159-C565-4BC8-B1DB-39470D47A737}">
    <text>Market value for irrigation system consultant to conduct distribution uniformity test. However, it is important to note that California is heavily investing in RCDs to increase their capacity to conduct free distribution uniformity tests for growers in their region.</text>
  </threadedComment>
  <threadedComment ref="D11" dT="2023-04-28T19:48:35.54" personId="{2E62A6FE-FB72-444C-8C1D-A6BAA86A3516}" id="{1EBBE7FC-E77F-4E98-9A73-31401CB45469}">
    <text>Input 3 for adjusted calculation in CRC column.</text>
  </threadedComment>
  <threadedComment ref="I11" dT="2023-04-06T23:06:32.88" personId="{2E62A6FE-FB72-444C-8C1D-A6BAA86A3516}" id="{BED804C9-849C-4DAB-9239-F326CFD1BADA}">
    <text>User could decide to add a $96 annual investment repair estimate from  UC Davis Sample Costs to Produce Almonds budget for the entire irrigation system because a DU test will expose areas of equipment repair/maint/ replacement needed, such as new sprinkler heads, etc. (Duncan et al., 2019)</text>
  </threadedComment>
  <threadedComment ref="B12" dT="2023-04-24T00:04:00.41" personId="{2E62A6FE-FB72-444C-8C1D-A6BAA86A3516}" id="{E28C957A-E29F-4DF1-BEED-9CB23D2EA532}">
    <text>Market value for irrigation system consultant to conduct distribution uniformity test. However, it is important to note that California is heavily investing in RCDs to increase their capacity to conduct free distribution uniformity tests for growers in their region.</text>
  </threadedComment>
  <threadedComment ref="D12" dT="2023-04-28T19:48:41.57" personId="{2E62A6FE-FB72-444C-8C1D-A6BAA86A3516}" id="{A8E8016E-7467-4BD5-8029-2D37B8BE4B33}">
    <text>Input 2 for adjusted calculation in CRC column.</text>
  </threadedComment>
  <threadedComment ref="I12" dT="2023-04-06T23:06:32.88" personId="{2E62A6FE-FB72-444C-8C1D-A6BAA86A3516}" id="{AFAD0687-FA10-B245-837A-D0811452C4C8}">
    <text>User could decide to add a $96 annual investment repair estimate from  UC Davis Sample Costs to Produce Almonds budget for the entire irrigation system because a DU test will expose areas of equipment repair/maint/ replacement needed, such as new sprinkler heads, etc. (Duncan et al., 2019)</text>
  </threadedComment>
  <threadedComment ref="K15" dT="2023-04-24T16:37:26.91" personId="{2E62A6FE-FB72-444C-8C1D-A6BAA86A3516}" id="{6675C365-7A49-4668-8E2F-CAF5A7E58C0B}">
    <text>As a fundamental practice, irrigation specialists guess growers do this just 1-3 times a year</text>
  </threadedComment>
  <threadedComment ref="C16" dT="2023-04-06T16:53:10.96" personId="{2E62A6FE-FB72-444C-8C1D-A6BAA86A3516}" id="{B4E28A5E-9959-4EEB-BF3B-E8ACE6AA1960}">
    <text>Assuming 4 hours of labor for this installation according to irrigation installers</text>
  </threadedComment>
  <threadedComment ref="I16" dT="2023-04-06T23:01:53.12" personId="{2E62A6FE-FB72-444C-8C1D-A6BAA86A3516}" id="{F6B99F90-95CD-4775-8727-88C30B0E4E8D}">
    <text>Assume 2% of purchase price plus market value for special lithium-ion batteries replacement every 3 years</text>
  </threadedComment>
  <threadedComment ref="J16" dT="2023-04-06T17:06:33.19" personId="{2E62A6FE-FB72-444C-8C1D-A6BAA86A3516}" id="{8F789E0E-DFA2-49FD-BBDF-853867CDB0A0}">
    <text>We assume 0.5 hours for changing out battery every 3 years so 0.167 hrs/yr, and 4 hours/year removing debris from propeller</text>
  </threadedComment>
  <threadedComment ref="L16" dT="2023-04-24T16:39:16.98" personId="{2E62A6FE-FB72-444C-8C1D-A6BAA86A3516}" id="{6EF239E0-2922-40DA-92E5-3BD57728C605}">
    <text>Assuming only 5 minutes to look and write down reading.</text>
  </threadedComment>
  <threadedComment ref="C17" dT="2023-04-06T16:53:10.96" personId="{2E62A6FE-FB72-444C-8C1D-A6BAA86A3516}" id="{08BC6448-77BC-9645-99BB-BD84C47CD60A}">
    <text>Assuming 4 hours of labor for this installation according to irrigation installers</text>
  </threadedComment>
  <threadedComment ref="I17" dT="2023-04-24T00:13:52.94" personId="{2E62A6FE-FB72-444C-8C1D-A6BAA86A3516}" id="{3C4100B3-63D0-4F2E-A77E-AF6035196DA4}">
    <text>Assume 2% of purchase price plus market value for special lithium-ion batteries replacement every 3 years</text>
  </threadedComment>
  <threadedComment ref="J17" dT="2023-04-06T17:06:33.19" personId="{2E62A6FE-FB72-444C-8C1D-A6BAA86A3516}" id="{70668947-14D3-4046-865D-138A7F66AC95}">
    <text>We assume 0.5 hours for changing out battery every 3 years, so 0.167 hrs/yr, otherwise no maintenance</text>
  </threadedComment>
  <threadedComment ref="L17" dT="2023-04-24T16:39:16.98" personId="{2E62A6FE-FB72-444C-8C1D-A6BAA86A3516}" id="{38FF004F-7B61-4E88-9BA1-963DCB88E9C8}">
    <text>Assuming only 5 minutes to look and write down reading.</text>
  </threadedComment>
  <threadedComment ref="C18" dT="2023-04-22T18:05:44.28" personId="{9CA6E75F-7464-BE4F-880C-FCFC26F6C399}" id="{BAEC7F5E-A313-A843-82B3-32B1AB627FFB}">
    <text>Assuming 8 hours of labor according to irrigation installers - more time involved when also setting up telemetry</text>
  </threadedComment>
  <threadedComment ref="I18" dT="2023-04-06T23:02:50.89" personId="{2E62A6FE-FB72-444C-8C1D-A6BAA86A3516}" id="{F7639B22-0768-44F4-879A-8262C1D695E6}">
    <text>Assumed 2% of purchase price for annual repairs, plus a $300/year for cellular which includes data logging and analysis, and $175 for special lithium battery replacement every 3 years (based on vendor estimates).</text>
  </threadedComment>
  <threadedComment ref="J18" dT="2023-04-06T17:06:33.19" personId="{2E62A6FE-FB72-444C-8C1D-A6BAA86A3516}" id="{EA9F71B2-5DEF-4DB7-9542-29128C9BCCD0}">
    <text>We assume 0.5 hours for changing out battery every 3 years so 0.167 hrs/yr, and 4 hours/year removing debris from propeller</text>
  </threadedComment>
  <threadedComment ref="C19" dT="2023-04-22T18:05:44.28" personId="{9CA6E75F-7464-BE4F-880C-FCFC26F6C399}" id="{9CFD5F70-BED4-CA41-97FB-7BA5768D5833}">
    <text>Assuming 8 hours of labor according to irrigation installers - more time involved when also setting up telemetry</text>
  </threadedComment>
  <threadedComment ref="I19" dT="2023-04-06T23:02:50.89" personId="{2E62A6FE-FB72-444C-8C1D-A6BAA86A3516}" id="{4292BF6F-C004-4195-AA6D-E0CF64D81837}">
    <text>Assumed 2% of purchase price for annual repairs, plus a $300/year for cellular which includes data logging and analysis, and $175 for special lithium battery replacement every 3 years (based on vendor estimates).</text>
  </threadedComment>
  <threadedComment ref="J19" dT="2023-04-06T17:06:33.19" personId="{2E62A6FE-FB72-444C-8C1D-A6BAA86A3516}" id="{DAB55FD2-229B-41A4-B4EE-3F6EBEF09DEB}">
    <text>Assume 0.5 hours for changing out battery every 3 years, so 0.167 hrs/yr, otherwise no maintenance</text>
  </threadedComment>
  <threadedComment ref="I22" dT="2023-04-06T22:28:01.85" personId="{2E62A6FE-FB72-444C-8C1D-A6BAA86A3516}" id="{D6F7EE4F-0829-4E65-86F5-B18340216394}">
    <text>Assume 2% of purchase price, plus assume need for two replacement dutch augers ($200 average market value) over 25 year lifespan, assuming only need to replace twice.</text>
  </threadedComment>
  <threadedComment ref="C23" dT="2023-03-31T16:52:23.71" personId="{2E62A6FE-FB72-444C-8C1D-A6BAA86A3516}" id="{F954B8B1-1F4F-425D-BF1D-1B940437BD06}">
    <text>Assuming 2 hours to install; involves soaking the probe overnight and 20 minutes per sensor to install; no transportation time or cost included.</text>
  </threadedComment>
  <threadedComment ref="I23" dT="2023-04-06T22:28:34.92" personId="{2E62A6FE-FB72-444C-8C1D-A6BAA86A3516}" id="{863A11DA-0BC7-4F2A-AF9A-C8462D9EC770}">
    <text>Assume 2% of purchase price, plus $31 gauge replacement once in lifespan, $70 liquid &amp; pump every other year so 5 times in 10yr lifespan, and $15 new ceramic tip every 3 years so 3 times in 10yr lifespan</text>
  </threadedComment>
  <threadedComment ref="J23" dT="2023-04-24T16:06:42.69" personId="{2E62A6FE-FB72-444C-8C1D-A6BAA86A3516}" id="{1725EFA4-B514-4086-BD2C-79C1B80F11B7}">
    <text>We assume 1 hour/month of maintenance activities for a soil probe station (3 sensors at various depths) based on vendor interviews. This involves checking the probes for any physical damage, repairing any damages, refilling liquid for tensiometers, and removing all probes from ground at end of the season.</text>
  </threadedComment>
  <threadedComment ref="L23" dT="2023-04-24T16:41:25.58" personId="{2E62A6FE-FB72-444C-8C1D-A6BAA86A3516}" id="{97484C4C-DF4B-459E-A12C-C3D4BDBECD77}">
    <text>We assume it takes 15 minutes to read and write down measurements from 3 soil sensors.</text>
  </threadedComment>
  <threadedComment ref="C24" dT="2023-03-31T16:52:23.71" personId="{2E62A6FE-FB72-444C-8C1D-A6BAA86A3516}" id="{92DD55B0-BA2D-4931-9585-68D0271534DB}">
    <text>Assuming 20 minutes/sensor to install (no soaking of tips necessary like tensiometers); no transportation time or cost included.</text>
  </threadedComment>
  <threadedComment ref="I24" dT="2023-04-06T22:30:33.05" personId="{2E62A6FE-FB72-444C-8C1D-A6BAA86A3516}" id="{50815054-40F5-43BC-81D1-5577EB9924AB}">
    <text>Assume 2% of purchase price</text>
  </threadedComment>
  <threadedComment ref="J24" dT="2023-04-24T16:06:42.69" personId="{2E62A6FE-FB72-444C-8C1D-A6BAA86A3516}" id="{33B505D9-C122-417B-8A62-7CB0610408BC}">
    <text>We assume 1 hour/month of maintenance activities for a soil probe station (3 sensors at various depths) based on vendor interviews. This involves checking the probes for any physical damage, repairing any damages, refilling liquid for tensiometers, and removing all probes from ground at end of the season.</text>
  </threadedComment>
  <threadedComment ref="I25" dT="2023-04-24T00:23:11.31" personId="{2E62A6FE-FB72-444C-8C1D-A6BAA86A3516}" id="{0397A3F8-BA4B-49AD-8AF2-7A9914126501}">
    <text>Assumed 2% of purchase price to cover battery &amp; cable replacements for example, then added $300/year for annual cellular data which includes data logging and analysis.</text>
  </threadedComment>
  <threadedComment ref="J25" dT="2023-04-24T16:06:42.69" personId="{2E62A6FE-FB72-444C-8C1D-A6BAA86A3516}" id="{A8C6BA2C-727D-477A-8D5B-AD9274753024}">
    <text>We assume 1 hour/month of maintenance activities for a soil probe station (3 sensors at various depths) based on vendor interviews. This involves checking the probes for any physical damage, repairing any damages, refilling liquid for tensiometers, and removing all probes from ground at end of the season.</text>
  </threadedComment>
  <threadedComment ref="J25" dT="2023-04-24T16:07:50.20" personId="{2E62A6FE-FB72-444C-8C1D-A6BAA86A3516}" id="{3F072672-59B4-4F21-A267-C48EDE08DC32}" parentId="{A8C6BA2C-727D-477A-8D5B-AD9274753024}">
    <text>No additional maintenance for telemetry aspect of this practice as that is capture in the annual investment repairs &amp; services value.</text>
  </threadedComment>
  <threadedComment ref="D29" dT="2023-04-23T23:11:29.63" personId="{2E62A6FE-FB72-444C-8C1D-A6BAA86A3516}" id="{D7997A0C-A5B0-4A3B-B662-749F6BAD5E29}">
    <text>Determined by Niederholzer et al. (2022) 2022 Sample Costs to Establish an Orchard and Produce Prunes. UC Davis Dept. of Ag and Resource Economics.</text>
  </threadedComment>
  <threadedComment ref="I29" dT="2023-04-06T23:03:07.78" personId="{2E62A6FE-FB72-444C-8C1D-A6BAA86A3516}" id="{1B74A85E-939B-47D9-A2B6-875347FE4B5D}">
    <text>Assumes the 2% of purchase price for annual repair needs, plus $110 every 2 years for vendor maintenance service.</text>
  </threadedComment>
  <threadedComment ref="B30" dT="2023-04-24T00:07:10.75" personId="{2E62A6FE-FB72-444C-8C1D-A6BAA86A3516}" id="{992B7D2A-3CA7-43A6-A802-89A51F764FB9}">
    <text>No price included because practice does not involve owning the associated equipment, but leasing it. The cost of this service is included as an "Annual Investment Repairs &amp; Services" because it is an annual fee.</text>
  </threadedComment>
  <threadedComment ref="I30" dT="2023-04-24T00:10:24.40" personId="{2E62A6FE-FB72-444C-8C1D-A6BAA86A3516}" id="{0CF4CD07-6953-4820-8BCD-F632A9A07978}">
    <text>Based on market value estimate from vendors plus 7.25% California sales tax; this service includes repairs, software updates, maintenance, data logging and analysis, etc.</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A911-51B0-484F-9C47-BC31E491B9BB}">
  <sheetPr codeName="Sheet1">
    <tabColor rgb="FFC00000"/>
    <pageSetUpPr fitToPage="1"/>
  </sheetPr>
  <dimension ref="A1:L89"/>
  <sheetViews>
    <sheetView tabSelected="1" topLeftCell="A34" zoomScaleNormal="100" workbookViewId="0">
      <selection activeCell="A3" sqref="A3:H3"/>
    </sheetView>
  </sheetViews>
  <sheetFormatPr defaultColWidth="8.85546875" defaultRowHeight="14.45"/>
  <cols>
    <col min="1" max="1" width="2.5703125" customWidth="1"/>
    <col min="5" max="6" width="8.5703125" customWidth="1"/>
    <col min="7" max="7" width="36.7109375" customWidth="1"/>
    <col min="8" max="8" width="36.5703125" customWidth="1"/>
    <col min="12" max="12" width="34.140625" bestFit="1" customWidth="1"/>
  </cols>
  <sheetData>
    <row r="1" spans="1:8" s="1" customFormat="1" ht="19.5" customHeight="1">
      <c r="A1" s="215"/>
      <c r="B1" s="215"/>
      <c r="C1" s="215"/>
      <c r="D1" s="215"/>
      <c r="E1" s="215"/>
      <c r="F1" s="215"/>
      <c r="G1" s="215"/>
      <c r="H1" s="215"/>
    </row>
    <row r="2" spans="1:8" s="1" customFormat="1" ht="23.25" customHeight="1">
      <c r="A2" s="215"/>
      <c r="B2" s="215"/>
      <c r="C2" s="215"/>
      <c r="D2" s="215"/>
      <c r="E2" s="215"/>
      <c r="F2" s="215"/>
      <c r="G2" s="215"/>
      <c r="H2" s="215"/>
    </row>
    <row r="3" spans="1:8" s="1" customFormat="1" ht="18.75" customHeight="1">
      <c r="A3" s="216" t="s">
        <v>0</v>
      </c>
      <c r="B3" s="216"/>
      <c r="C3" s="216"/>
      <c r="D3" s="216"/>
      <c r="E3" s="216"/>
      <c r="F3" s="216"/>
      <c r="G3" s="216"/>
      <c r="H3" s="216"/>
    </row>
    <row r="4" spans="1:8" s="1" customFormat="1" ht="17.25" customHeight="1">
      <c r="A4" s="227" t="s">
        <v>1</v>
      </c>
      <c r="B4" s="227"/>
      <c r="C4" s="227"/>
      <c r="D4" s="227"/>
      <c r="E4" s="227"/>
      <c r="F4" s="227"/>
      <c r="G4" s="227"/>
      <c r="H4" s="227"/>
    </row>
    <row r="5" spans="1:8">
      <c r="A5" s="177" t="s">
        <v>2</v>
      </c>
      <c r="B5" s="177"/>
      <c r="C5" s="177"/>
      <c r="D5" s="177"/>
      <c r="E5" s="177"/>
      <c r="F5" s="177"/>
      <c r="G5" s="177"/>
      <c r="H5" s="177"/>
    </row>
    <row r="6" spans="1:8">
      <c r="A6" s="177" t="s">
        <v>3</v>
      </c>
      <c r="B6" s="177"/>
      <c r="C6" s="177"/>
      <c r="D6" s="177"/>
      <c r="E6" s="177"/>
      <c r="F6" s="177"/>
      <c r="G6" s="177"/>
      <c r="H6" s="177"/>
    </row>
    <row r="7" spans="1:8">
      <c r="A7" s="225" t="s">
        <v>4</v>
      </c>
      <c r="B7" s="225"/>
      <c r="C7" s="225"/>
      <c r="D7" s="225"/>
      <c r="E7" s="225"/>
      <c r="F7" s="225"/>
      <c r="G7" s="225"/>
      <c r="H7" s="225"/>
    </row>
    <row r="8" spans="1:8" ht="14.45" customHeight="1">
      <c r="A8" s="179" t="s">
        <v>5</v>
      </c>
      <c r="B8" s="179"/>
      <c r="C8" s="179"/>
      <c r="D8" s="179"/>
      <c r="E8" s="179"/>
      <c r="F8" s="179"/>
      <c r="G8" s="179"/>
      <c r="H8" s="179"/>
    </row>
    <row r="9" spans="1:8">
      <c r="A9" s="179"/>
      <c r="B9" s="179"/>
      <c r="C9" s="179"/>
      <c r="D9" s="179"/>
      <c r="E9" s="179"/>
      <c r="F9" s="179"/>
      <c r="G9" s="179"/>
      <c r="H9" s="179"/>
    </row>
    <row r="10" spans="1:8">
      <c r="A10" s="179"/>
      <c r="B10" s="179"/>
      <c r="C10" s="179"/>
      <c r="D10" s="179"/>
      <c r="E10" s="179"/>
      <c r="F10" s="179"/>
      <c r="G10" s="179"/>
      <c r="H10" s="179"/>
    </row>
    <row r="11" spans="1:8">
      <c r="A11" s="214" t="s">
        <v>6</v>
      </c>
      <c r="B11" s="214"/>
      <c r="C11" s="214"/>
      <c r="D11" s="214"/>
      <c r="E11" s="214"/>
      <c r="F11" s="214"/>
      <c r="G11" s="214"/>
      <c r="H11" s="214"/>
    </row>
    <row r="12" spans="1:8" ht="14.45" customHeight="1">
      <c r="A12" s="179" t="s">
        <v>7</v>
      </c>
      <c r="B12" s="179"/>
      <c r="C12" s="179"/>
      <c r="D12" s="179"/>
      <c r="E12" s="179"/>
      <c r="F12" s="179"/>
      <c r="G12" s="179"/>
      <c r="H12" s="179"/>
    </row>
    <row r="13" spans="1:8">
      <c r="A13" s="179"/>
      <c r="B13" s="179"/>
      <c r="C13" s="179"/>
      <c r="D13" s="179"/>
      <c r="E13" s="179"/>
      <c r="F13" s="179"/>
      <c r="G13" s="179"/>
      <c r="H13" s="179"/>
    </row>
    <row r="14" spans="1:8">
      <c r="A14" s="179"/>
      <c r="B14" s="179"/>
      <c r="C14" s="179"/>
      <c r="D14" s="179"/>
      <c r="E14" s="179"/>
      <c r="F14" s="179"/>
      <c r="G14" s="179"/>
      <c r="H14" s="179"/>
    </row>
    <row r="15" spans="1:8">
      <c r="A15" s="179"/>
      <c r="B15" s="179"/>
      <c r="C15" s="179"/>
      <c r="D15" s="179"/>
      <c r="E15" s="179"/>
      <c r="F15" s="179"/>
      <c r="G15" s="179"/>
      <c r="H15" s="179"/>
    </row>
    <row r="16" spans="1:8">
      <c r="A16" s="179"/>
      <c r="B16" s="179"/>
      <c r="C16" s="179"/>
      <c r="D16" s="179"/>
      <c r="E16" s="179"/>
      <c r="F16" s="179"/>
      <c r="G16" s="179"/>
      <c r="H16" s="179"/>
    </row>
    <row r="17" spans="1:8">
      <c r="A17" s="179"/>
      <c r="B17" s="179"/>
      <c r="C17" s="179"/>
      <c r="D17" s="179"/>
      <c r="E17" s="179"/>
      <c r="F17" s="179"/>
      <c r="G17" s="179"/>
      <c r="H17" s="179"/>
    </row>
    <row r="18" spans="1:8">
      <c r="A18" s="179"/>
      <c r="B18" s="179"/>
      <c r="C18" s="179"/>
      <c r="D18" s="179"/>
      <c r="E18" s="179"/>
      <c r="F18" s="179"/>
      <c r="G18" s="179"/>
      <c r="H18" s="179"/>
    </row>
    <row r="19" spans="1:8">
      <c r="A19" s="179"/>
      <c r="B19" s="179"/>
      <c r="C19" s="179"/>
      <c r="D19" s="179"/>
      <c r="E19" s="179"/>
      <c r="F19" s="179"/>
      <c r="G19" s="179"/>
      <c r="H19" s="179"/>
    </row>
    <row r="20" spans="1:8">
      <c r="A20" s="179"/>
      <c r="B20" s="179"/>
      <c r="C20" s="179"/>
      <c r="D20" s="179"/>
      <c r="E20" s="179"/>
      <c r="F20" s="179"/>
      <c r="G20" s="179"/>
      <c r="H20" s="179"/>
    </row>
    <row r="21" spans="1:8">
      <c r="A21" s="179"/>
      <c r="B21" s="179"/>
      <c r="C21" s="179"/>
      <c r="D21" s="179"/>
      <c r="E21" s="179"/>
      <c r="F21" s="179"/>
      <c r="G21" s="179"/>
      <c r="H21" s="179"/>
    </row>
    <row r="22" spans="1:8">
      <c r="A22" s="179"/>
      <c r="B22" s="179"/>
      <c r="C22" s="179"/>
      <c r="D22" s="179"/>
      <c r="E22" s="179"/>
      <c r="F22" s="179"/>
      <c r="G22" s="179"/>
      <c r="H22" s="179"/>
    </row>
    <row r="23" spans="1:8">
      <c r="A23" s="179"/>
      <c r="B23" s="179"/>
      <c r="C23" s="179"/>
      <c r="D23" s="179"/>
      <c r="E23" s="179"/>
      <c r="F23" s="179"/>
      <c r="G23" s="179"/>
      <c r="H23" s="179"/>
    </row>
    <row r="24" spans="1:8">
      <c r="A24" s="179"/>
      <c r="B24" s="179"/>
      <c r="C24" s="179"/>
      <c r="D24" s="179"/>
      <c r="E24" s="179"/>
      <c r="F24" s="179"/>
      <c r="G24" s="179"/>
      <c r="H24" s="179"/>
    </row>
    <row r="25" spans="1:8">
      <c r="A25" s="179"/>
      <c r="B25" s="179"/>
      <c r="C25" s="179"/>
      <c r="D25" s="179"/>
      <c r="E25" s="179"/>
      <c r="F25" s="179"/>
      <c r="G25" s="179"/>
      <c r="H25" s="179"/>
    </row>
    <row r="26" spans="1:8">
      <c r="A26" s="179"/>
      <c r="B26" s="179"/>
      <c r="C26" s="179"/>
      <c r="D26" s="179"/>
      <c r="E26" s="179"/>
      <c r="F26" s="179"/>
      <c r="G26" s="179"/>
      <c r="H26" s="179"/>
    </row>
    <row r="27" spans="1:8">
      <c r="A27" s="179"/>
      <c r="B27" s="179"/>
      <c r="C27" s="179"/>
      <c r="D27" s="179"/>
      <c r="E27" s="179"/>
      <c r="F27" s="179"/>
      <c r="G27" s="179"/>
      <c r="H27" s="179"/>
    </row>
    <row r="28" spans="1:8">
      <c r="A28" s="214" t="s">
        <v>8</v>
      </c>
      <c r="B28" s="214"/>
      <c r="C28" s="214"/>
      <c r="D28" s="214"/>
      <c r="E28" s="214"/>
      <c r="F28" s="214"/>
      <c r="G28" s="214"/>
      <c r="H28" s="214"/>
    </row>
    <row r="29" spans="1:8">
      <c r="A29" s="226" t="s">
        <v>9</v>
      </c>
      <c r="B29" s="198"/>
      <c r="C29" s="198"/>
      <c r="D29" s="198"/>
      <c r="E29" s="198"/>
      <c r="F29" s="198"/>
      <c r="G29" s="198"/>
      <c r="H29" s="198"/>
    </row>
    <row r="30" spans="1:8">
      <c r="A30" s="198" t="s">
        <v>10</v>
      </c>
      <c r="B30" s="198"/>
      <c r="C30" s="198"/>
      <c r="D30" s="198"/>
      <c r="E30" s="198"/>
      <c r="F30" s="198"/>
      <c r="G30" s="198"/>
      <c r="H30" s="198"/>
    </row>
    <row r="31" spans="1:8">
      <c r="A31" s="198" t="s">
        <v>11</v>
      </c>
      <c r="B31" s="198"/>
      <c r="C31" s="198"/>
      <c r="D31" s="198"/>
      <c r="E31" s="198"/>
      <c r="F31" s="198"/>
      <c r="G31" s="198"/>
      <c r="H31" s="198"/>
    </row>
    <row r="32" spans="1:8">
      <c r="A32" s="198" t="s">
        <v>12</v>
      </c>
      <c r="B32" s="198"/>
      <c r="C32" s="198"/>
      <c r="D32" s="198"/>
      <c r="E32" s="198"/>
      <c r="F32" s="198"/>
      <c r="G32" s="198"/>
      <c r="H32" s="198"/>
    </row>
    <row r="33" spans="1:12" ht="15" customHeight="1">
      <c r="A33" s="178" t="s">
        <v>13</v>
      </c>
      <c r="B33" s="178"/>
      <c r="C33" s="178"/>
      <c r="D33" s="178"/>
      <c r="E33" s="178"/>
      <c r="F33" s="178"/>
      <c r="G33" s="178"/>
      <c r="H33" s="178"/>
    </row>
    <row r="34" spans="1:12" ht="14.45" customHeight="1">
      <c r="A34" s="178" t="s">
        <v>14</v>
      </c>
      <c r="B34" s="178"/>
      <c r="C34" s="178"/>
      <c r="D34" s="178"/>
      <c r="E34" s="178"/>
      <c r="F34" s="178"/>
      <c r="G34" s="178"/>
      <c r="H34" s="178"/>
    </row>
    <row r="35" spans="1:12">
      <c r="A35" s="224" t="s">
        <v>15</v>
      </c>
      <c r="B35" s="224"/>
      <c r="C35" s="224"/>
      <c r="D35" s="224"/>
      <c r="E35" s="224"/>
      <c r="F35" s="224"/>
      <c r="G35" s="224"/>
      <c r="H35" s="224"/>
    </row>
    <row r="36" spans="1:12">
      <c r="A36" s="201" t="s">
        <v>16</v>
      </c>
      <c r="B36" s="201"/>
      <c r="C36" s="201"/>
      <c r="D36" s="201"/>
      <c r="E36" s="201"/>
      <c r="F36" s="201"/>
      <c r="G36" s="201"/>
    </row>
    <row r="37" spans="1:12">
      <c r="A37" s="200" t="s">
        <v>17</v>
      </c>
      <c r="B37" s="200"/>
      <c r="C37" s="200"/>
      <c r="D37" s="200"/>
      <c r="E37" s="200"/>
      <c r="F37" s="200"/>
      <c r="G37" s="200"/>
    </row>
    <row r="38" spans="1:12">
      <c r="A38" t="s">
        <v>18</v>
      </c>
    </row>
    <row r="39" spans="1:12">
      <c r="A39" s="175" t="s">
        <v>19</v>
      </c>
      <c r="B39" s="175"/>
      <c r="C39" s="175"/>
      <c r="D39" s="175"/>
      <c r="E39" s="175"/>
      <c r="F39" s="175"/>
      <c r="G39" s="175"/>
      <c r="H39" s="175"/>
    </row>
    <row r="40" spans="1:12">
      <c r="A40" s="164"/>
      <c r="B40" s="164"/>
      <c r="C40" s="164"/>
      <c r="D40" s="164"/>
      <c r="E40" s="164"/>
      <c r="F40" s="164"/>
      <c r="G40" s="164"/>
      <c r="H40" s="164"/>
    </row>
    <row r="41" spans="1:12" ht="15.95" thickBot="1">
      <c r="A41" s="211" t="s">
        <v>20</v>
      </c>
      <c r="B41" s="211"/>
      <c r="C41" s="211"/>
      <c r="D41" s="211"/>
      <c r="E41" s="211"/>
      <c r="F41" s="211"/>
      <c r="G41" s="211"/>
      <c r="H41" s="211"/>
    </row>
    <row r="42" spans="1:12" ht="15" thickBot="1">
      <c r="G42" s="55" t="s">
        <v>21</v>
      </c>
      <c r="H42" s="55" t="s">
        <v>22</v>
      </c>
      <c r="I42" s="54"/>
    </row>
    <row r="43" spans="1:12" ht="24.6" customHeight="1">
      <c r="B43" s="219" t="s">
        <v>23</v>
      </c>
      <c r="C43" s="220"/>
      <c r="D43" s="220"/>
      <c r="E43" s="220"/>
      <c r="F43" s="220"/>
      <c r="G43" s="45"/>
      <c r="H43" s="46"/>
      <c r="L43" s="36"/>
    </row>
    <row r="44" spans="1:12" ht="27.6" customHeight="1" thickBot="1">
      <c r="B44" s="217" t="s">
        <v>24</v>
      </c>
      <c r="C44" s="218"/>
      <c r="D44" s="218"/>
      <c r="E44" s="218"/>
      <c r="F44" s="218"/>
      <c r="G44" s="47"/>
      <c r="H44" s="48"/>
    </row>
    <row r="45" spans="1:12" ht="8.4499999999999993" customHeight="1" thickBot="1">
      <c r="B45" s="221"/>
      <c r="C45" s="222"/>
      <c r="D45" s="222"/>
      <c r="E45" s="222"/>
      <c r="F45" s="222"/>
      <c r="G45" s="222"/>
      <c r="H45" s="223"/>
    </row>
    <row r="46" spans="1:12" ht="16.5">
      <c r="A46" s="11"/>
      <c r="B46" s="205" t="s">
        <v>25</v>
      </c>
      <c r="C46" s="206"/>
      <c r="D46" s="206"/>
      <c r="E46" s="206"/>
      <c r="F46" s="206"/>
      <c r="G46" s="105" cm="1">
        <f t="array" ref="G46">IFERROR(VLOOKUP(INDEX(SubCategory_1_Content,Lists!$D$20),'Economic Cost Data'!$A$1:$O$63,2,FALSE)+VLOOKUP(INDEX(SubCategory_1_Content,Lists!$D$20),'Economic Cost Data'!$A$1:$O$63,3,FALSE),0)</f>
        <v>0</v>
      </c>
      <c r="H46" s="103" cm="1">
        <f t="array" ref="H46">IFERROR(VLOOKUP(INDEX(SubCategory_2_Content,Lists!$D$30),'Economic Cost Data'!$A$1:$O$63,2,FALSE)+VLOOKUP(INDEX(SubCategory_2_Content,Lists!$D$30),'Economic Cost Data'!$A$1:$O$63,3,FALSE),0)</f>
        <v>1500</v>
      </c>
    </row>
    <row r="47" spans="1:12" ht="15" thickBot="1">
      <c r="A47" s="11"/>
      <c r="B47" s="202" t="s">
        <v>26</v>
      </c>
      <c r="C47" s="203"/>
      <c r="D47" s="203"/>
      <c r="E47" s="203"/>
      <c r="F47" s="204"/>
      <c r="G47" s="154"/>
      <c r="H47" s="155"/>
    </row>
    <row r="48" spans="1:12" ht="16.5">
      <c r="A48" s="11"/>
      <c r="B48" s="205" t="s">
        <v>27</v>
      </c>
      <c r="C48" s="206"/>
      <c r="D48" s="206"/>
      <c r="E48" s="206"/>
      <c r="F48" s="206"/>
      <c r="G48" s="106" cm="1">
        <f t="array" ref="G48">IFERROR(VLOOKUP(INDEX(SubCategory_1_Content,Lists!$D$20),'Economic Cost Data'!$A$1:$O$63,4,FALSE),0)</f>
        <v>0</v>
      </c>
      <c r="H48" s="104" cm="1">
        <f t="array" ref="H48">IFERROR(VLOOKUP(INDEX(SubCategory_2_Content,Lists!$D$30),'Economic Cost Data'!$A$1:$O$63,4,FALSE),0)</f>
        <v>2.5</v>
      </c>
    </row>
    <row r="49" spans="1:12" ht="15" thickBot="1">
      <c r="A49" s="13"/>
      <c r="B49" s="202" t="s">
        <v>28</v>
      </c>
      <c r="C49" s="203"/>
      <c r="D49" s="203"/>
      <c r="E49" s="203"/>
      <c r="F49" s="203"/>
      <c r="G49" s="156"/>
      <c r="H49" s="157"/>
    </row>
    <row r="50" spans="1:12" ht="16.5">
      <c r="B50" s="205" t="s">
        <v>29</v>
      </c>
      <c r="C50" s="206"/>
      <c r="D50" s="206"/>
      <c r="E50" s="206"/>
      <c r="F50" s="207"/>
      <c r="G50" s="106" cm="1">
        <f t="array" ref="G50">IFERROR(VLOOKUP(INDEX(SubCategory_1_Content,Lists!$D$20),'Economic Cost Data'!$A$1:$O$63,10,FALSE)+VLOOKUP(INDEX(SubCategory_1_Content,Lists!$D$20),'Economic Cost Data'!$A$1:$O$63,13,FALSE),0)</f>
        <v>1.5</v>
      </c>
      <c r="H50" s="104" cm="1">
        <f t="array" ref="H50">IFERROR(VLOOKUP(INDEX(SubCategory_2_Content,Lists!$D$30),'Economic Cost Data'!$A$1:$O$63,10,FALSE)+VLOOKUP(INDEX(SubCategory_2_Content,Lists!$D$30),'Economic Cost Data'!$A$1:$O$63,13,FALSE),0)</f>
        <v>0</v>
      </c>
    </row>
    <row r="51" spans="1:12" ht="15" thickBot="1">
      <c r="B51" s="212" t="s">
        <v>30</v>
      </c>
      <c r="C51" s="213"/>
      <c r="D51" s="213"/>
      <c r="E51" s="213"/>
      <c r="F51" s="213"/>
      <c r="G51" s="154"/>
      <c r="H51" s="155"/>
    </row>
    <row r="52" spans="1:12" ht="16.5">
      <c r="B52" s="205" t="s">
        <v>31</v>
      </c>
      <c r="C52" s="206"/>
      <c r="D52" s="206"/>
      <c r="E52" s="206"/>
      <c r="F52" s="207"/>
      <c r="G52" s="117">
        <f>'Basic Data'!$B$37</f>
        <v>41.731423454514989</v>
      </c>
      <c r="H52" s="118">
        <f>'Basic Data'!$B$37</f>
        <v>41.731423454514989</v>
      </c>
    </row>
    <row r="53" spans="1:12" ht="15" thickBot="1">
      <c r="B53" s="202" t="s">
        <v>32</v>
      </c>
      <c r="C53" s="203"/>
      <c r="D53" s="203"/>
      <c r="E53" s="203"/>
      <c r="F53" s="203"/>
      <c r="G53" s="154"/>
      <c r="H53" s="155"/>
    </row>
    <row r="54" spans="1:12" ht="14.45" customHeight="1">
      <c r="A54" s="199"/>
      <c r="B54" s="199"/>
      <c r="C54" s="199"/>
      <c r="D54" s="199"/>
      <c r="E54" s="199"/>
      <c r="F54" s="199"/>
      <c r="G54" s="199"/>
      <c r="H54" s="199"/>
      <c r="I54" s="49"/>
      <c r="J54" s="49"/>
      <c r="K54" s="49"/>
      <c r="L54" s="49"/>
    </row>
    <row r="55" spans="1:12" ht="15.6">
      <c r="A55" s="211" t="s">
        <v>33</v>
      </c>
      <c r="B55" s="211"/>
      <c r="C55" s="211"/>
      <c r="D55" s="211"/>
      <c r="E55" s="211"/>
      <c r="F55" s="211"/>
      <c r="G55" s="211"/>
      <c r="H55" s="211"/>
    </row>
    <row r="56" spans="1:12" ht="15" thickBot="1">
      <c r="A56" s="191"/>
      <c r="B56" s="191"/>
      <c r="C56" s="191"/>
      <c r="D56" s="191"/>
      <c r="E56" s="191"/>
      <c r="F56" s="191"/>
      <c r="G56" s="191"/>
      <c r="H56" s="191"/>
    </row>
    <row r="57" spans="1:12" ht="13.5" customHeight="1">
      <c r="A57" s="12"/>
      <c r="B57" s="185" t="s">
        <v>34</v>
      </c>
      <c r="C57" s="186"/>
      <c r="D57" s="186"/>
      <c r="E57" s="186"/>
      <c r="F57" s="186"/>
      <c r="G57" s="186"/>
      <c r="H57" s="187"/>
    </row>
    <row r="58" spans="1:12" ht="13.5" customHeight="1">
      <c r="A58" s="12"/>
      <c r="B58" s="174" t="s">
        <v>35</v>
      </c>
      <c r="C58" s="175"/>
      <c r="D58" s="175"/>
      <c r="E58" s="175"/>
      <c r="F58" s="175"/>
      <c r="G58" s="168"/>
      <c r="H58" s="169"/>
    </row>
    <row r="59" spans="1:12" ht="13.5" customHeight="1">
      <c r="A59" s="12"/>
      <c r="B59" s="176"/>
      <c r="C59" s="177"/>
      <c r="D59" s="177"/>
      <c r="E59" s="177"/>
      <c r="F59" s="177"/>
      <c r="G59" s="99" t="str">
        <f>G42</f>
        <v>Irrigation Mgmt. Selection 1:</v>
      </c>
      <c r="H59" s="64" t="str">
        <f>H42</f>
        <v>Irrigation Mgmt. Selection 2:</v>
      </c>
    </row>
    <row r="60" spans="1:12" ht="13.5" customHeight="1">
      <c r="A60" s="12"/>
      <c r="B60" s="176"/>
      <c r="C60" s="177"/>
      <c r="D60" s="177"/>
      <c r="E60" s="177"/>
      <c r="F60" s="177"/>
      <c r="G60" s="100" t="str" cm="1">
        <f t="array" ref="G60">INDEX(Categories_1_Transposed,Lists!B20)</f>
        <v>Applied Water Monitoring</v>
      </c>
      <c r="H60" s="65" t="str" cm="1">
        <f t="array" ref="H60">INDEX(Categories_2_Transposed,Lists!B30)</f>
        <v>Irrigation System Performance Monitoring</v>
      </c>
    </row>
    <row r="61" spans="1:12">
      <c r="A61" s="12"/>
      <c r="B61" s="176"/>
      <c r="C61" s="177"/>
      <c r="D61" s="177"/>
      <c r="E61" s="177"/>
      <c r="F61" s="177"/>
      <c r="G61" s="101" t="str" cm="1">
        <f t="array" ref="G61">INDEX(SubCategory_1_Content,Lists!D20)</f>
        <v>1 - Manual, hand calculated</v>
      </c>
      <c r="H61" s="66" t="str" cm="1">
        <f t="array" ref="H61">INDEX(SubCategory_2_Content,Lists!D30)</f>
        <v>2 - Assess DU every 3yrs</v>
      </c>
    </row>
    <row r="62" spans="1:12">
      <c r="B62" s="182" t="s">
        <v>36</v>
      </c>
      <c r="C62" s="183"/>
      <c r="D62" s="183"/>
      <c r="E62" s="183"/>
      <c r="F62" s="183"/>
      <c r="G62" s="102">
        <f>IF(G47&gt;0,G47,G46)</f>
        <v>0</v>
      </c>
      <c r="H62" s="72">
        <f>IF(H47&gt;0,H47,H46)</f>
        <v>1500</v>
      </c>
      <c r="I62" s="36"/>
    </row>
    <row r="63" spans="1:12">
      <c r="B63" s="182" t="s">
        <v>37</v>
      </c>
      <c r="C63" s="183"/>
      <c r="D63" s="183"/>
      <c r="E63" s="183"/>
      <c r="F63" s="183"/>
      <c r="G63" s="102">
        <f>G62*0.07</f>
        <v>0</v>
      </c>
      <c r="H63" s="72">
        <f>H62*0.07</f>
        <v>105.00000000000001</v>
      </c>
    </row>
    <row r="64" spans="1:12">
      <c r="B64" s="208" t="s">
        <v>38</v>
      </c>
      <c r="C64" s="209"/>
      <c r="D64" s="209"/>
      <c r="E64" s="209"/>
      <c r="F64" s="209"/>
      <c r="G64" s="210"/>
      <c r="H64" s="116"/>
    </row>
    <row r="65" spans="2:10">
      <c r="B65" s="182" t="s">
        <v>39</v>
      </c>
      <c r="C65" s="183"/>
      <c r="D65" s="183"/>
      <c r="E65" s="183"/>
      <c r="F65" s="183"/>
      <c r="G65" s="184"/>
      <c r="H65" s="115"/>
    </row>
    <row r="66" spans="2:10" ht="15.6">
      <c r="B66" s="190" t="s">
        <v>40</v>
      </c>
      <c r="C66" s="191"/>
      <c r="D66" s="191"/>
      <c r="E66" s="191"/>
      <c r="F66" s="191"/>
      <c r="G66" s="102" t="str">
        <f>IFERROR(IF(G47&gt;0,('Basic Data'!$B$18/(1-(1+'Basic Data'!$B$18)^(IF(G49&gt;0,G49*-1,G48*-1))))*(G47-G63)+(G63*'Basic Data'!$B$18),('Basic Data'!$B$18/(1-(1+'Basic Data'!$B$18)^(IF(G49&gt;0,G49*-1,G48*-1))))*(G46-G63)+(G63*'Basic Data'!$B$18)), "NA")</f>
        <v>NA</v>
      </c>
      <c r="H66" s="72">
        <f>IFERROR(IF(H47&gt;0,('Basic Data'!$B$18/(1-(1+'Basic Data'!$B$18)^(IF(H49&gt;0,H49*-1,H48*-1))))*(H47-H63)+(H63*'Basic Data'!$B$18),('Basic Data'!$B$18/(1-(1+'Basic Data'!$B$18)^(IF(H49&gt;0,H49*-1,H48*-1))))*(H46-H63)+(H63*'Basic Data'!$B$18)), "NA")</f>
        <v>629.29631340899323</v>
      </c>
      <c r="I66" s="33"/>
      <c r="J66" s="4"/>
    </row>
    <row r="67" spans="2:10" ht="15.6">
      <c r="B67" s="190" t="s">
        <v>41</v>
      </c>
      <c r="C67" s="191"/>
      <c r="D67" s="191"/>
      <c r="E67" s="191"/>
      <c r="F67" s="191"/>
      <c r="G67" s="107">
        <f>VLOOKUP(Calculator!$G$61,'Economic Cost Data'!$A$1:$O$63,7,FALSE)+VLOOKUP(Calculator!$G$61,'Economic Cost Data'!$A$1:$O$63,8,FALSE)</f>
        <v>0</v>
      </c>
      <c r="H67" s="166">
        <f>VLOOKUP(Calculator!$H$61,'Economic Cost Data'!$A$1:$O$63,7,FALSE)+VLOOKUP(Calculator!$H$61,'Economic Cost Data'!$A$1:$O$63,8,FALSE)</f>
        <v>0</v>
      </c>
      <c r="I67" s="34"/>
    </row>
    <row r="68" spans="2:10" ht="15.6">
      <c r="B68" s="188" t="s">
        <v>42</v>
      </c>
      <c r="C68" s="189"/>
      <c r="D68" s="189"/>
      <c r="E68" s="189"/>
      <c r="F68" s="189"/>
      <c r="G68" s="108">
        <f>VLOOKUP(Calculator!$G$61,'Economic Cost Data'!$A$1:$O$63,9,FALSE)</f>
        <v>0</v>
      </c>
      <c r="H68" s="167">
        <f>VLOOKUP(Calculator!$H$61,'Economic Cost Data'!$A$1:$O$63,9,FALSE)</f>
        <v>0</v>
      </c>
      <c r="I68" s="33"/>
    </row>
    <row r="69" spans="2:10">
      <c r="B69" s="192" t="s">
        <v>43</v>
      </c>
      <c r="C69" s="193"/>
      <c r="D69" s="193"/>
      <c r="E69" s="193"/>
      <c r="F69" s="193"/>
      <c r="G69" s="113">
        <f>SUM(G66:G68)</f>
        <v>0</v>
      </c>
      <c r="H69" s="76">
        <f>SUM(H66:H68)</f>
        <v>629.29631340899323</v>
      </c>
    </row>
    <row r="70" spans="2:10">
      <c r="B70" s="190"/>
      <c r="C70" s="191"/>
      <c r="D70" s="191"/>
      <c r="E70" s="191"/>
      <c r="F70" s="191"/>
      <c r="G70" s="195"/>
      <c r="H70" s="114"/>
    </row>
    <row r="71" spans="2:10">
      <c r="B71" s="182" t="s">
        <v>44</v>
      </c>
      <c r="C71" s="183"/>
      <c r="D71" s="183"/>
      <c r="E71" s="183"/>
      <c r="F71" s="183"/>
      <c r="G71" s="184"/>
      <c r="H71" s="115"/>
    </row>
    <row r="72" spans="2:10">
      <c r="B72" s="190" t="s">
        <v>45</v>
      </c>
      <c r="C72" s="191"/>
      <c r="D72" s="191"/>
      <c r="E72" s="191"/>
      <c r="F72" s="191"/>
      <c r="G72" s="109">
        <f>VLOOKUP(Calculator!$G$61,'Economic Cost Data'!$A$1:$O$63,10,FALSE)</f>
        <v>0</v>
      </c>
      <c r="H72" s="73">
        <f>VLOOKUP(Calculator!$H$61,'Economic Cost Data'!$A$1:$O$63,10,FALSE)</f>
        <v>0</v>
      </c>
    </row>
    <row r="73" spans="2:10" ht="30" customHeight="1">
      <c r="B73" s="194" t="s">
        <v>46</v>
      </c>
      <c r="C73" s="191"/>
      <c r="D73" s="191"/>
      <c r="E73" s="191"/>
      <c r="F73" s="191"/>
      <c r="G73" s="110">
        <f>IF(G51&gt;0,G$51,VLOOKUP(Calculator!$G$61,'Economic Cost Data'!$A$1:$O$63,13,FALSE))</f>
        <v>1.5</v>
      </c>
      <c r="H73" s="104">
        <f>IF(H51&gt;0,H$51,VLOOKUP(Calculator!$H$61,'Economic Cost Data'!$A$1:$O$63,13,FALSE))</f>
        <v>0</v>
      </c>
      <c r="I73" s="36"/>
    </row>
    <row r="74" spans="2:10" ht="15.6">
      <c r="B74" s="192" t="s">
        <v>47</v>
      </c>
      <c r="C74" s="193"/>
      <c r="D74" s="193"/>
      <c r="E74" s="193"/>
      <c r="F74" s="193"/>
      <c r="G74" s="113">
        <f>IF(G$51&gt;0,G$51*(IF(G$53&gt;0,G$53,G$52)),G$50*(IF(G$53&gt;0,G$53,G$52)))</f>
        <v>62.597135181772487</v>
      </c>
      <c r="H74" s="76">
        <f>IF(H$51&gt;0,H$51*(IF(H$53&gt;0,H$53,H$52)),H$50*(IF(H$53&gt;0,H$53,H$52)))</f>
        <v>0</v>
      </c>
    </row>
    <row r="75" spans="2:10">
      <c r="B75" s="190"/>
      <c r="C75" s="191"/>
      <c r="D75" s="191"/>
      <c r="E75" s="191"/>
      <c r="F75" s="191"/>
      <c r="G75" s="195"/>
      <c r="H75" s="114"/>
    </row>
    <row r="76" spans="2:10">
      <c r="B76" s="180" t="s">
        <v>48</v>
      </c>
      <c r="C76" s="181"/>
      <c r="D76" s="181"/>
      <c r="E76" s="181"/>
      <c r="F76" s="181"/>
      <c r="G76" s="111">
        <f>G69+G74</f>
        <v>62.597135181772487</v>
      </c>
      <c r="H76" s="74">
        <f>H69+H74</f>
        <v>629.29631340899323</v>
      </c>
    </row>
    <row r="77" spans="2:10">
      <c r="B77" s="180" t="s">
        <v>49</v>
      </c>
      <c r="C77" s="181"/>
      <c r="D77" s="181"/>
      <c r="E77" s="181"/>
      <c r="F77" s="181"/>
      <c r="G77" s="158">
        <f>VLOOKUP(Calculator!$G$61,'Economic Cost Data'!$A$1:$O$63,11,FALSE)</f>
        <v>3</v>
      </c>
      <c r="H77" s="159">
        <f>VLOOKUP(Calculator!$H$61,'Economic Cost Data'!$A$1:$O$63,11,FALSE)</f>
        <v>0.33</v>
      </c>
    </row>
    <row r="78" spans="2:10" ht="15" thickBot="1">
      <c r="B78" s="196" t="s">
        <v>50</v>
      </c>
      <c r="C78" s="197"/>
      <c r="D78" s="197"/>
      <c r="E78" s="197"/>
      <c r="F78" s="197"/>
      <c r="G78" s="112">
        <f>IF(G77&gt;1,G76/G77,G76*G77)</f>
        <v>20.865711727257494</v>
      </c>
      <c r="H78" s="75">
        <f>IF(H77&gt;1,H76/H77,H76*H77)</f>
        <v>207.66778342496778</v>
      </c>
    </row>
    <row r="79" spans="2:10" ht="14.45" customHeight="1">
      <c r="B79" s="172" t="s">
        <v>51</v>
      </c>
      <c r="C79" s="172"/>
      <c r="D79" s="172"/>
      <c r="E79" s="172"/>
      <c r="F79" s="172"/>
      <c r="G79" s="172"/>
      <c r="H79" s="172"/>
      <c r="I79" s="36"/>
    </row>
    <row r="80" spans="2:10">
      <c r="B80" s="173"/>
      <c r="C80" s="173"/>
      <c r="D80" s="173"/>
      <c r="E80" s="173"/>
      <c r="F80" s="173"/>
      <c r="G80" s="173"/>
      <c r="H80" s="173"/>
    </row>
    <row r="81" spans="2:8">
      <c r="B81" s="173"/>
      <c r="C81" s="173"/>
      <c r="D81" s="173"/>
      <c r="E81" s="173"/>
      <c r="F81" s="173"/>
      <c r="G81" s="173"/>
      <c r="H81" s="173"/>
    </row>
    <row r="82" spans="2:8">
      <c r="B82" s="173"/>
      <c r="C82" s="173"/>
      <c r="D82" s="173"/>
      <c r="E82" s="173"/>
      <c r="F82" s="173"/>
      <c r="G82" s="173"/>
      <c r="H82" s="173"/>
    </row>
    <row r="83" spans="2:8">
      <c r="B83" s="173"/>
      <c r="C83" s="173"/>
      <c r="D83" s="173"/>
      <c r="E83" s="173"/>
      <c r="F83" s="173"/>
      <c r="G83" s="173"/>
      <c r="H83" s="173"/>
    </row>
    <row r="84" spans="2:8">
      <c r="B84" s="173"/>
      <c r="C84" s="173"/>
      <c r="D84" s="173"/>
      <c r="E84" s="173"/>
      <c r="F84" s="173"/>
      <c r="G84" s="173"/>
      <c r="H84" s="173"/>
    </row>
    <row r="85" spans="2:8">
      <c r="B85" s="173"/>
      <c r="C85" s="173"/>
      <c r="D85" s="173"/>
      <c r="E85" s="173"/>
      <c r="F85" s="173"/>
      <c r="G85" s="173"/>
      <c r="H85" s="173"/>
    </row>
    <row r="86" spans="2:8">
      <c r="B86" s="173"/>
      <c r="C86" s="173"/>
      <c r="D86" s="173"/>
      <c r="E86" s="173"/>
      <c r="F86" s="173"/>
      <c r="G86" s="173"/>
      <c r="H86" s="173"/>
    </row>
    <row r="87" spans="2:8">
      <c r="B87" s="173"/>
      <c r="C87" s="173"/>
      <c r="D87" s="173"/>
      <c r="E87" s="173"/>
      <c r="F87" s="173"/>
      <c r="G87" s="173"/>
      <c r="H87" s="173"/>
    </row>
    <row r="88" spans="2:8">
      <c r="B88" s="173"/>
      <c r="C88" s="173"/>
      <c r="D88" s="173"/>
      <c r="E88" s="173"/>
      <c r="F88" s="173"/>
      <c r="G88" s="173"/>
      <c r="H88" s="173"/>
    </row>
    <row r="89" spans="2:8">
      <c r="B89" s="173"/>
      <c r="C89" s="173"/>
      <c r="D89" s="173"/>
      <c r="E89" s="173"/>
      <c r="F89" s="173"/>
      <c r="G89" s="173"/>
      <c r="H89" s="173"/>
    </row>
  </sheetData>
  <sheetProtection sheet="1" selectLockedCells="1"/>
  <mergeCells count="56">
    <mergeCell ref="A1:H2"/>
    <mergeCell ref="A3:H3"/>
    <mergeCell ref="B46:F46"/>
    <mergeCell ref="B44:F44"/>
    <mergeCell ref="B43:F43"/>
    <mergeCell ref="B45:H45"/>
    <mergeCell ref="A35:H35"/>
    <mergeCell ref="A11:H11"/>
    <mergeCell ref="A7:H7"/>
    <mergeCell ref="A29:H29"/>
    <mergeCell ref="A32:H32"/>
    <mergeCell ref="A33:H33"/>
    <mergeCell ref="A31:H31"/>
    <mergeCell ref="A4:H4"/>
    <mergeCell ref="B52:F52"/>
    <mergeCell ref="B51:F51"/>
    <mergeCell ref="B53:F53"/>
    <mergeCell ref="B49:F49"/>
    <mergeCell ref="A5:H5"/>
    <mergeCell ref="A39:H39"/>
    <mergeCell ref="A28:H28"/>
    <mergeCell ref="A41:H41"/>
    <mergeCell ref="A8:H10"/>
    <mergeCell ref="A6:H6"/>
    <mergeCell ref="B75:G75"/>
    <mergeCell ref="B78:F78"/>
    <mergeCell ref="B77:F77"/>
    <mergeCell ref="A30:H30"/>
    <mergeCell ref="A54:H54"/>
    <mergeCell ref="A37:G37"/>
    <mergeCell ref="A36:G36"/>
    <mergeCell ref="B47:F47"/>
    <mergeCell ref="B50:F50"/>
    <mergeCell ref="B48:F48"/>
    <mergeCell ref="B71:G71"/>
    <mergeCell ref="B69:F69"/>
    <mergeCell ref="B64:G64"/>
    <mergeCell ref="A56:H56"/>
    <mergeCell ref="A55:H55"/>
    <mergeCell ref="B70:G70"/>
    <mergeCell ref="B79:H89"/>
    <mergeCell ref="B58:F58"/>
    <mergeCell ref="B59:F61"/>
    <mergeCell ref="A34:H34"/>
    <mergeCell ref="A12:H27"/>
    <mergeCell ref="B76:F76"/>
    <mergeCell ref="B65:G65"/>
    <mergeCell ref="B57:H57"/>
    <mergeCell ref="B62:F62"/>
    <mergeCell ref="B68:F68"/>
    <mergeCell ref="B67:F67"/>
    <mergeCell ref="B66:F66"/>
    <mergeCell ref="B63:F63"/>
    <mergeCell ref="B74:F74"/>
    <mergeCell ref="B73:F73"/>
    <mergeCell ref="B72:F72"/>
  </mergeCells>
  <pageMargins left="0.7" right="0.7" top="0.75" bottom="0.7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7" r:id="rId4" name="Drop Down 33">
              <controlPr defaultSize="0" autoLine="0" autoPict="0">
                <anchor moveWithCells="1">
                  <from>
                    <xdr:col>6</xdr:col>
                    <xdr:colOff>0</xdr:colOff>
                    <xdr:row>41</xdr:row>
                    <xdr:rowOff>190500</xdr:rowOff>
                  </from>
                  <to>
                    <xdr:col>7</xdr:col>
                    <xdr:colOff>857250</xdr:colOff>
                    <xdr:row>43</xdr:row>
                    <xdr:rowOff>0</xdr:rowOff>
                  </to>
                </anchor>
              </controlPr>
            </control>
          </mc:Choice>
        </mc:AlternateContent>
        <mc:AlternateContent xmlns:mc="http://schemas.openxmlformats.org/markup-compatibility/2006">
          <mc:Choice Requires="x14">
            <control shapeId="1059" r:id="rId5" name="Drop Down 35">
              <controlPr defaultSize="0" autoLine="0" autoPict="0">
                <anchor moveWithCells="1">
                  <from>
                    <xdr:col>6</xdr:col>
                    <xdr:colOff>12700</xdr:colOff>
                    <xdr:row>43</xdr:row>
                    <xdr:rowOff>12700</xdr:rowOff>
                  </from>
                  <to>
                    <xdr:col>7</xdr:col>
                    <xdr:colOff>0</xdr:colOff>
                    <xdr:row>43</xdr:row>
                    <xdr:rowOff>336550</xdr:rowOff>
                  </to>
                </anchor>
              </controlPr>
            </control>
          </mc:Choice>
        </mc:AlternateContent>
        <mc:AlternateContent xmlns:mc="http://schemas.openxmlformats.org/markup-compatibility/2006">
          <mc:Choice Requires="x14">
            <control shapeId="1060" r:id="rId6" name="Drop Down 36">
              <controlPr defaultSize="0" autoLine="0" autoPict="0">
                <anchor moveWithCells="1">
                  <from>
                    <xdr:col>7</xdr:col>
                    <xdr:colOff>0</xdr:colOff>
                    <xdr:row>42</xdr:row>
                    <xdr:rowOff>0</xdr:rowOff>
                  </from>
                  <to>
                    <xdr:col>8</xdr:col>
                    <xdr:colOff>0</xdr:colOff>
                    <xdr:row>43</xdr:row>
                    <xdr:rowOff>0</xdr:rowOff>
                  </to>
                </anchor>
              </controlPr>
            </control>
          </mc:Choice>
        </mc:AlternateContent>
        <mc:AlternateContent xmlns:mc="http://schemas.openxmlformats.org/markup-compatibility/2006">
          <mc:Choice Requires="x14">
            <control shapeId="1061" r:id="rId7" name="Drop Down 37">
              <controlPr defaultSize="0" autoLine="0" autoPict="0">
                <anchor moveWithCells="1">
                  <from>
                    <xdr:col>7</xdr:col>
                    <xdr:colOff>0</xdr:colOff>
                    <xdr:row>43</xdr:row>
                    <xdr:rowOff>0</xdr:rowOff>
                  </from>
                  <to>
                    <xdr:col>8</xdr:col>
                    <xdr:colOff>0</xdr:colOff>
                    <xdr:row>43</xdr:row>
                    <xdr:rowOff>323850</xdr:rowOff>
                  </to>
                </anchor>
              </controlPr>
            </control>
          </mc:Choice>
        </mc:AlternateContent>
        <mc:AlternateContent xmlns:mc="http://schemas.openxmlformats.org/markup-compatibility/2006">
          <mc:Choice Requires="x14">
            <control shapeId="1065" r:id="rId8" name="Drop Down 41">
              <controlPr defaultSize="0" autoLine="0" autoPict="0">
                <anchor moveWithCells="1">
                  <from>
                    <xdr:col>6</xdr:col>
                    <xdr:colOff>0</xdr:colOff>
                    <xdr:row>42</xdr:row>
                    <xdr:rowOff>0</xdr:rowOff>
                  </from>
                  <to>
                    <xdr:col>7</xdr:col>
                    <xdr:colOff>0</xdr:colOff>
                    <xdr:row>43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59C3-BE58-4B6B-83A7-0581E964B625}">
  <sheetPr codeName="Sheet6">
    <tabColor rgb="FFC00000"/>
  </sheetPr>
  <dimension ref="A1:D29"/>
  <sheetViews>
    <sheetView topLeftCell="A13" zoomScaleNormal="100" workbookViewId="0">
      <selection activeCell="A21" sqref="A21"/>
    </sheetView>
  </sheetViews>
  <sheetFormatPr defaultColWidth="8.5703125" defaultRowHeight="29.45" customHeight="1"/>
  <cols>
    <col min="1" max="1" width="34.42578125" style="59" customWidth="1"/>
    <col min="2" max="2" width="13" customWidth="1"/>
    <col min="3" max="3" width="54.5703125" customWidth="1"/>
  </cols>
  <sheetData>
    <row r="1" spans="1:4" s="29" customFormat="1" ht="29.45" customHeight="1">
      <c r="A1" s="151" t="s">
        <v>52</v>
      </c>
      <c r="B1" s="152" t="s">
        <v>53</v>
      </c>
      <c r="C1" s="151" t="s">
        <v>54</v>
      </c>
      <c r="D1" s="153"/>
    </row>
    <row r="2" spans="1:4" ht="15.95" customHeight="1">
      <c r="A2" s="69" t="s">
        <v>55</v>
      </c>
      <c r="B2" s="69"/>
      <c r="C2" s="69" t="s">
        <v>56</v>
      </c>
    </row>
    <row r="3" spans="1:4" ht="29.45" customHeight="1">
      <c r="A3" s="71" t="str">
        <f>Lists!B10</f>
        <v>1 - Public data, monthly</v>
      </c>
      <c r="B3" t="s">
        <v>57</v>
      </c>
      <c r="C3" s="77" t="s">
        <v>58</v>
      </c>
    </row>
    <row r="4" spans="1:4" ht="29.45" customHeight="1">
      <c r="A4" s="71" t="str">
        <f>Lists!B11</f>
        <v>2 - Public data adjusted, biweekly</v>
      </c>
      <c r="B4" t="s">
        <v>59</v>
      </c>
      <c r="C4" s="88" t="s">
        <v>60</v>
      </c>
    </row>
    <row r="5" spans="1:4" ht="29.45" customHeight="1">
      <c r="A5" s="71" t="str">
        <f>Lists!B12</f>
        <v>3a - Real-time data, in-field ET telemetry station</v>
      </c>
      <c r="B5" t="s">
        <v>61</v>
      </c>
      <c r="C5" s="228" t="s">
        <v>62</v>
      </c>
    </row>
    <row r="6" spans="1:4" ht="29.1">
      <c r="A6" s="71" t="str">
        <f>Lists!B13</f>
        <v>3b - Real-time data, LEASED in-field ET station</v>
      </c>
      <c r="B6" t="s">
        <v>61</v>
      </c>
      <c r="C6" s="228"/>
    </row>
    <row r="7" spans="1:4" ht="14.45">
      <c r="A7" s="71"/>
      <c r="C7" s="78"/>
    </row>
    <row r="8" spans="1:4" ht="15.95" customHeight="1">
      <c r="A8" s="69" t="s">
        <v>63</v>
      </c>
      <c r="B8" s="69"/>
      <c r="C8" s="69"/>
    </row>
    <row r="9" spans="1:4" ht="43.5">
      <c r="A9" s="70" t="str">
        <f>Lists!C10</f>
        <v>1 - Spot check every 3yrs</v>
      </c>
      <c r="B9" t="s">
        <v>57</v>
      </c>
      <c r="C9" s="77" t="s">
        <v>64</v>
      </c>
    </row>
    <row r="10" spans="1:4" ht="43.5">
      <c r="A10" s="70" t="str">
        <f>Lists!C11</f>
        <v>2 - Assess DU every 3yrs</v>
      </c>
      <c r="B10" t="s">
        <v>59</v>
      </c>
      <c r="C10" s="77" t="s">
        <v>65</v>
      </c>
    </row>
    <row r="11" spans="1:4" ht="43.5">
      <c r="A11" s="70" t="str">
        <f>Lists!C12</f>
        <v>3 - Assess DU every 2yrs</v>
      </c>
      <c r="B11" t="s">
        <v>61</v>
      </c>
      <c r="C11" s="77" t="s">
        <v>66</v>
      </c>
    </row>
    <row r="12" spans="1:4" ht="14.45">
      <c r="A12" s="70"/>
    </row>
    <row r="13" spans="1:4" ht="15.95" customHeight="1">
      <c r="A13" s="69" t="s">
        <v>67</v>
      </c>
      <c r="B13" s="69"/>
      <c r="C13" s="69"/>
    </row>
    <row r="14" spans="1:4" ht="29.45" customHeight="1">
      <c r="A14" s="70" t="str">
        <f>Lists!D10</f>
        <v>1 - Manual, hand calculated</v>
      </c>
      <c r="B14" t="s">
        <v>57</v>
      </c>
      <c r="C14" s="77" t="s">
        <v>68</v>
      </c>
    </row>
    <row r="15" spans="1:4" ht="14.45">
      <c r="A15" s="70" t="str">
        <f>Lists!D11</f>
        <v>2a - Manual, propeller meter</v>
      </c>
      <c r="B15" t="s">
        <v>59</v>
      </c>
      <c r="C15" s="228" t="s">
        <v>69</v>
      </c>
    </row>
    <row r="16" spans="1:4" ht="14.45">
      <c r="A16" s="70" t="str">
        <f>Lists!D12</f>
        <v>2b - Manual, mag meter</v>
      </c>
      <c r="B16" t="s">
        <v>59</v>
      </c>
      <c r="C16" s="228"/>
    </row>
    <row r="17" spans="1:3" ht="32.1" customHeight="1">
      <c r="A17" s="70" t="str">
        <f>Lists!D13</f>
        <v>3a - Automated, prop meter + telemetry</v>
      </c>
      <c r="B17" t="s">
        <v>61</v>
      </c>
      <c r="C17" s="228" t="s">
        <v>70</v>
      </c>
    </row>
    <row r="18" spans="1:3" ht="29.45" customHeight="1">
      <c r="A18" s="70" t="str">
        <f>Lists!D14</f>
        <v>3b - Automated, mag meter + telemetry</v>
      </c>
      <c r="B18" t="s">
        <v>61</v>
      </c>
      <c r="C18" s="228"/>
    </row>
    <row r="19" spans="1:3" ht="14.45">
      <c r="A19" s="70"/>
    </row>
    <row r="20" spans="1:3" ht="15.95" customHeight="1">
      <c r="A20" s="69" t="s">
        <v>71</v>
      </c>
      <c r="B20" s="69"/>
      <c r="C20" s="69"/>
    </row>
    <row r="21" spans="1:3" ht="29.45" customHeight="1">
      <c r="A21" s="70" t="str">
        <f>Lists!E10</f>
        <v>1 - Manual, auger, monthly</v>
      </c>
      <c r="B21" t="s">
        <v>57</v>
      </c>
      <c r="C21" s="78" t="s">
        <v>72</v>
      </c>
    </row>
    <row r="22" spans="1:3" ht="48" customHeight="1">
      <c r="A22" s="70" t="str">
        <f>Lists!E11</f>
        <v>2 - Manual, 3 tensiometers, biweekly</v>
      </c>
      <c r="B22" t="s">
        <v>59</v>
      </c>
      <c r="C22" s="228" t="s">
        <v>73</v>
      </c>
    </row>
    <row r="23" spans="1:3" ht="29.45" customHeight="1">
      <c r="A23" s="70" t="str">
        <f>Lists!E12</f>
        <v>3a - Manual, 3 granular blocks, biweekly</v>
      </c>
      <c r="B23" t="s">
        <v>59</v>
      </c>
      <c r="C23" s="228"/>
    </row>
    <row r="24" spans="1:3" ht="43.5">
      <c r="A24" s="70" t="str">
        <f>Lists!E13</f>
        <v>3b - Automated, 3 probes + telemetry</v>
      </c>
      <c r="B24" t="s">
        <v>61</v>
      </c>
      <c r="C24" s="78" t="s">
        <v>74</v>
      </c>
    </row>
    <row r="25" spans="1:3" ht="14.45">
      <c r="A25" s="70"/>
    </row>
    <row r="26" spans="1:3" ht="15.95" customHeight="1">
      <c r="A26" s="69" t="s">
        <v>75</v>
      </c>
      <c r="B26" s="69"/>
      <c r="C26" s="69"/>
    </row>
    <row r="27" spans="1:3" ht="29.1">
      <c r="A27" s="70" t="str">
        <f>Lists!F10</f>
        <v>1 - Manual, visually</v>
      </c>
      <c r="B27" t="s">
        <v>57</v>
      </c>
      <c r="C27" s="77" t="s">
        <v>76</v>
      </c>
    </row>
    <row r="28" spans="1:3" ht="72.599999999999994">
      <c r="A28" s="70" t="str">
        <f>Lists!F11</f>
        <v>2 - Manual, pressure chamber, biweekly</v>
      </c>
      <c r="B28" s="59" t="s">
        <v>77</v>
      </c>
      <c r="C28" s="77" t="s">
        <v>78</v>
      </c>
    </row>
    <row r="29" spans="1:3" ht="43.5">
      <c r="A29" s="70" t="str">
        <f>Lists!F12</f>
        <v>3 - Automated, LEASED plant-based sensors</v>
      </c>
      <c r="B29" t="s">
        <v>61</v>
      </c>
      <c r="C29" s="77" t="s">
        <v>79</v>
      </c>
    </row>
  </sheetData>
  <sheetProtection sheet="1" objects="1" scenarios="1"/>
  <mergeCells count="4">
    <mergeCell ref="C22:C23"/>
    <mergeCell ref="C15:C16"/>
    <mergeCell ref="C17:C18"/>
    <mergeCell ref="C5: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373D-0095-46D6-9A81-A1B8F303F598}">
  <sheetPr codeName="Sheet3">
    <tabColor rgb="FFFFC000"/>
  </sheetPr>
  <dimension ref="A1:R77"/>
  <sheetViews>
    <sheetView zoomScaleNormal="100" workbookViewId="0">
      <pane ySplit="2" topLeftCell="A3" activePane="bottomLeft" state="frozen"/>
      <selection pane="bottomLeft"/>
    </sheetView>
  </sheetViews>
  <sheetFormatPr defaultColWidth="8.85546875" defaultRowHeight="14.45"/>
  <cols>
    <col min="1" max="1" width="42.5703125" customWidth="1"/>
    <col min="3" max="3" width="11.42578125" customWidth="1"/>
    <col min="6" max="6" width="8.85546875" customWidth="1"/>
    <col min="7" max="7" width="10.5703125" style="27" customWidth="1"/>
    <col min="9" max="9" width="10.85546875" customWidth="1"/>
    <col min="10" max="10" width="12.42578125" customWidth="1"/>
    <col min="11" max="11" width="15.42578125" customWidth="1"/>
    <col min="12" max="12" width="9.42578125" customWidth="1"/>
    <col min="13" max="13" width="12.85546875" customWidth="1"/>
    <col min="14" max="14" width="11.140625" customWidth="1"/>
    <col min="15" max="15" width="13.42578125" customWidth="1"/>
    <col min="16" max="17" width="12.42578125" customWidth="1"/>
  </cols>
  <sheetData>
    <row r="1" spans="1:18" ht="53.1" thickBot="1">
      <c r="A1" s="87" t="s">
        <v>80</v>
      </c>
      <c r="B1" s="232" t="s">
        <v>81</v>
      </c>
      <c r="C1" s="233"/>
      <c r="D1" s="233"/>
      <c r="E1" s="233"/>
      <c r="F1" s="233"/>
      <c r="G1" s="233"/>
      <c r="H1" s="233"/>
      <c r="I1" s="234"/>
      <c r="J1" s="235" t="s">
        <v>82</v>
      </c>
      <c r="K1" s="233"/>
      <c r="L1" s="233"/>
      <c r="M1" s="233"/>
      <c r="N1" s="233"/>
      <c r="O1" s="93" t="s">
        <v>83</v>
      </c>
      <c r="P1" s="235" t="s">
        <v>84</v>
      </c>
      <c r="Q1" s="236"/>
    </row>
    <row r="2" spans="1:18" s="68" customFormat="1" ht="72.95" thickBot="1">
      <c r="A2" s="67" t="s">
        <v>85</v>
      </c>
      <c r="B2" s="94" t="s">
        <v>86</v>
      </c>
      <c r="C2" s="95" t="s">
        <v>87</v>
      </c>
      <c r="D2" s="95" t="s">
        <v>88</v>
      </c>
      <c r="E2" s="95" t="s">
        <v>89</v>
      </c>
      <c r="F2" s="96" t="s">
        <v>90</v>
      </c>
      <c r="G2" s="95" t="s">
        <v>91</v>
      </c>
      <c r="H2" s="96" t="s">
        <v>92</v>
      </c>
      <c r="I2" s="96" t="s">
        <v>93</v>
      </c>
      <c r="J2" s="94" t="s">
        <v>94</v>
      </c>
      <c r="K2" s="95" t="s">
        <v>49</v>
      </c>
      <c r="L2" s="95" t="s">
        <v>95</v>
      </c>
      <c r="M2" s="95" t="s">
        <v>96</v>
      </c>
      <c r="N2" s="96" t="s">
        <v>97</v>
      </c>
      <c r="O2" s="97" t="s">
        <v>98</v>
      </c>
      <c r="P2" s="95" t="s">
        <v>99</v>
      </c>
      <c r="Q2" s="98" t="s">
        <v>100</v>
      </c>
    </row>
    <row r="3" spans="1:18" ht="15" thickTop="1">
      <c r="A3" s="16" t="s">
        <v>101</v>
      </c>
      <c r="B3" s="8"/>
      <c r="C3" s="17"/>
      <c r="D3" s="17"/>
      <c r="E3" s="17"/>
      <c r="F3" s="17"/>
      <c r="G3" s="18"/>
      <c r="H3" s="18"/>
      <c r="I3" s="18"/>
      <c r="J3" s="8"/>
      <c r="K3" s="17"/>
      <c r="L3" s="17"/>
      <c r="M3" s="17"/>
      <c r="N3" s="32"/>
      <c r="O3" s="30"/>
      <c r="P3" s="17"/>
      <c r="Q3" s="31"/>
    </row>
    <row r="4" spans="1:18">
      <c r="A4" s="2" t="str">
        <f>Lists!B10</f>
        <v>1 - Public data, monthly</v>
      </c>
      <c r="B4" s="6">
        <v>0</v>
      </c>
      <c r="C4" s="19">
        <v>0</v>
      </c>
      <c r="D4" s="20">
        <v>0</v>
      </c>
      <c r="E4" s="19">
        <v>0</v>
      </c>
      <c r="F4" s="19">
        <f>IFERROR(('Basic Data'!$B$18/(1-(1+'Basic Data'!$B$18)^-D4))*(B4+C4-E4)+(E4*'Basic Data'!$B$18),0)</f>
        <v>0</v>
      </c>
      <c r="G4" s="21">
        <f>'Basic Data'!$B$20*(B4+E4/2)</f>
        <v>0</v>
      </c>
      <c r="H4" s="37">
        <f>'Basic Data'!$B$19*(B4+E4)/2</f>
        <v>0</v>
      </c>
      <c r="I4" s="37">
        <f>0.02*B4</f>
        <v>0</v>
      </c>
      <c r="J4" s="134">
        <v>0</v>
      </c>
      <c r="K4" s="23">
        <f>'Basic Data'!B6</f>
        <v>8</v>
      </c>
      <c r="L4" s="24">
        <v>0.5</v>
      </c>
      <c r="M4" s="25">
        <f>L4*K4</f>
        <v>4</v>
      </c>
      <c r="N4" s="15">
        <f>(M4+J4)*'Basic Data'!$B$37</f>
        <v>166.92569381805995</v>
      </c>
      <c r="O4" s="146">
        <f>SUM(F4:I4,N4)</f>
        <v>166.92569381805995</v>
      </c>
      <c r="P4" s="132">
        <v>0</v>
      </c>
      <c r="Q4" s="133">
        <v>0</v>
      </c>
    </row>
    <row r="5" spans="1:18">
      <c r="A5" s="28" t="str">
        <f>Lists!B11</f>
        <v>2 - Public data adjusted, biweekly</v>
      </c>
      <c r="B5" s="6">
        <v>0</v>
      </c>
      <c r="C5" s="19">
        <v>0</v>
      </c>
      <c r="D5" s="20">
        <v>0</v>
      </c>
      <c r="E5" s="19">
        <v>0</v>
      </c>
      <c r="F5" s="19">
        <f>IFERROR(('Basic Data'!$B$18/(1-(1+'Basic Data'!$B$18)^-D5))*(B5+C5-E5)+(E5*'Basic Data'!$B$18),0)</f>
        <v>0</v>
      </c>
      <c r="G5" s="21">
        <f>'Basic Data'!$B$20*(B5+E5/2)</f>
        <v>0</v>
      </c>
      <c r="H5" s="37">
        <f>'Basic Data'!$B$19*(B5+E5)/2</f>
        <v>0</v>
      </c>
      <c r="I5" s="150">
        <v>100</v>
      </c>
      <c r="J5" s="134">
        <v>0</v>
      </c>
      <c r="K5" s="23">
        <f>'Basic Data'!B5</f>
        <v>15</v>
      </c>
      <c r="L5" s="24">
        <v>0.25</v>
      </c>
      <c r="M5" s="25">
        <f>L5*K5</f>
        <v>3.75</v>
      </c>
      <c r="N5" s="15">
        <f>(M5+J5)*'Basic Data'!$B$37</f>
        <v>156.4928379544312</v>
      </c>
      <c r="O5" s="146">
        <f>SUM(F5:I5,N5)</f>
        <v>256.4928379544312</v>
      </c>
      <c r="P5" s="132">
        <v>0</v>
      </c>
      <c r="Q5" s="133">
        <v>0</v>
      </c>
    </row>
    <row r="6" spans="1:18">
      <c r="A6" s="2" t="str">
        <f>Lists!B12</f>
        <v>3a - Real-time data, in-field ET telemetry station</v>
      </c>
      <c r="B6" s="6">
        <f>AVERAGE(P6:Q6)+'Basic Data'!B22*AVERAGE(P6:Q6)</f>
        <v>2229.0500000000002</v>
      </c>
      <c r="C6" s="19">
        <f>1000</f>
        <v>1000</v>
      </c>
      <c r="D6" s="20">
        <v>12</v>
      </c>
      <c r="E6" s="19">
        <f>B6*0.07</f>
        <v>156.03350000000003</v>
      </c>
      <c r="F6" s="19">
        <f>IFERROR(('Basic Data'!$B$18/(1-(1+'Basic Data'!$B$18)^-D6))*(B6+C6-E6)+(E6*'Basic Data'!$B$18),0)</f>
        <v>386.79617436493533</v>
      </c>
      <c r="G6" s="21">
        <f>'Basic Data'!$B$20*(B6+E6/2)</f>
        <v>19.517784705000004</v>
      </c>
      <c r="H6" s="37">
        <f>'Basic Data'!$B$19*(B6+E6)/2</f>
        <v>11.925417500000002</v>
      </c>
      <c r="I6" s="37">
        <f>(0.02*B6)+600</f>
        <v>644.58100000000002</v>
      </c>
      <c r="J6" s="80">
        <v>4</v>
      </c>
      <c r="K6" s="23">
        <f>'Basic Data'!B3</f>
        <v>210</v>
      </c>
      <c r="L6" s="140">
        <v>0</v>
      </c>
      <c r="M6" s="135">
        <f>L6*K6</f>
        <v>0</v>
      </c>
      <c r="N6" s="15">
        <f>(M6+J6)*'Basic Data'!$B$37</f>
        <v>166.92569381805995</v>
      </c>
      <c r="O6" s="146">
        <f>SUM(F6:I6,N6)</f>
        <v>1229.7460703879954</v>
      </c>
      <c r="P6" s="132">
        <v>2030</v>
      </c>
      <c r="Q6" s="133">
        <v>2330</v>
      </c>
      <c r="R6" s="132"/>
    </row>
    <row r="7" spans="1:18">
      <c r="A7" s="2" t="str">
        <f>Lists!B13</f>
        <v>3b - Real-time data, LEASED in-field ET station</v>
      </c>
      <c r="B7" s="142">
        <v>0</v>
      </c>
      <c r="C7" s="149">
        <f>1000</f>
        <v>1000</v>
      </c>
      <c r="D7" s="160">
        <v>25</v>
      </c>
      <c r="E7" s="149">
        <v>0</v>
      </c>
      <c r="F7" s="19">
        <f>IFERROR(('Basic Data'!$B$18/(1-(1+'Basic Data'!$B$18)^-D7))*(B7+C7-E7)+(E7*'Basic Data'!$B$18),0)</f>
        <v>81.981481083984974</v>
      </c>
      <c r="G7" s="149">
        <v>0</v>
      </c>
      <c r="H7" s="150">
        <f>'Basic Data'!$B$19*(B7+E7)/2</f>
        <v>0</v>
      </c>
      <c r="I7" s="150">
        <f>AVERAGE(P7:Q7)+(AVERAGE(P7:Q7)*0.0725)</f>
        <v>2145</v>
      </c>
      <c r="J7" s="136">
        <v>0</v>
      </c>
      <c r="K7" s="23">
        <f>'Basic Data'!B3</f>
        <v>210</v>
      </c>
      <c r="L7" s="140">
        <v>0</v>
      </c>
      <c r="M7" s="135">
        <f>L7*K7</f>
        <v>0</v>
      </c>
      <c r="N7" s="131">
        <f>(M7+J7)*'Basic Data'!$B$37</f>
        <v>0</v>
      </c>
      <c r="O7" s="146">
        <f>SUM(F7:I7,N7)</f>
        <v>2226.9814810839848</v>
      </c>
      <c r="P7" s="6">
        <v>2000</v>
      </c>
      <c r="Q7" s="141">
        <v>2000</v>
      </c>
    </row>
    <row r="8" spans="1:18">
      <c r="A8" s="2"/>
      <c r="B8" s="6"/>
      <c r="C8" s="19"/>
      <c r="D8" s="20"/>
      <c r="E8" s="19"/>
      <c r="F8" s="79"/>
      <c r="G8" s="21"/>
      <c r="H8" s="37"/>
      <c r="I8" s="37"/>
      <c r="J8" s="80"/>
      <c r="K8" s="23"/>
      <c r="L8" s="24"/>
      <c r="M8" s="25"/>
      <c r="N8" s="15"/>
      <c r="O8" s="146"/>
      <c r="P8" s="26"/>
      <c r="Q8" s="10"/>
    </row>
    <row r="9" spans="1:18">
      <c r="A9" s="16" t="s">
        <v>102</v>
      </c>
      <c r="B9" s="8"/>
      <c r="C9" s="17"/>
      <c r="D9" s="17"/>
      <c r="E9" s="17"/>
      <c r="F9" s="17"/>
      <c r="G9" s="18"/>
      <c r="H9" s="18"/>
      <c r="I9" s="18"/>
      <c r="J9" s="8"/>
      <c r="K9" s="17"/>
      <c r="L9" s="17"/>
      <c r="M9" s="17"/>
      <c r="N9" s="32"/>
      <c r="O9" s="147"/>
      <c r="P9" s="17"/>
      <c r="Q9" s="31"/>
    </row>
    <row r="10" spans="1:18">
      <c r="A10" s="2" t="str">
        <f>Lists!C10</f>
        <v>1 - Spot check every 3yrs</v>
      </c>
      <c r="B10" s="142">
        <f>AVERAGE(P10:Q10)+AVERAGE(P10:Q10)*'Basic Data'!B22</f>
        <v>43.967500000000001</v>
      </c>
      <c r="C10" s="19">
        <v>0</v>
      </c>
      <c r="D10" s="20">
        <v>25</v>
      </c>
      <c r="E10" s="19">
        <v>0</v>
      </c>
      <c r="F10" s="19">
        <f>IFERROR(('Basic Data'!$B$18/(1-(1+'Basic Data'!$B$18)^-D10))*(B10+C10-E10)+(E10*'Basic Data'!$B$18),0)</f>
        <v>3.6045207695601098</v>
      </c>
      <c r="G10" s="162">
        <v>0</v>
      </c>
      <c r="H10" s="163">
        <v>0</v>
      </c>
      <c r="I10" s="81">
        <f>B10/3</f>
        <v>14.655833333333334</v>
      </c>
      <c r="J10" s="134">
        <v>0</v>
      </c>
      <c r="K10" s="24">
        <f>'Basic Data'!B9</f>
        <v>0.33</v>
      </c>
      <c r="L10" s="24">
        <v>5</v>
      </c>
      <c r="M10" s="25">
        <f>L10*K10</f>
        <v>1.6500000000000001</v>
      </c>
      <c r="N10" s="15">
        <f>(M10+J10)*'Basic Data'!$B$37</f>
        <v>68.856848699949737</v>
      </c>
      <c r="O10" s="146">
        <f>SUM(F10:I10,N10)</f>
        <v>87.117202802843181</v>
      </c>
      <c r="P10" s="132">
        <v>43</v>
      </c>
      <c r="Q10" s="133">
        <v>43</v>
      </c>
    </row>
    <row r="11" spans="1:18">
      <c r="A11" s="2" t="str">
        <f>Lists!C11</f>
        <v>2 - Assess DU every 3yrs</v>
      </c>
      <c r="B11" s="6">
        <f>AVERAGE(P11:Q11)</f>
        <v>1500</v>
      </c>
      <c r="C11" s="19">
        <v>0</v>
      </c>
      <c r="D11" s="20">
        <v>2.5</v>
      </c>
      <c r="E11" s="19">
        <v>0</v>
      </c>
      <c r="F11" s="19">
        <f>B11/D11</f>
        <v>600</v>
      </c>
      <c r="G11" s="21">
        <v>0</v>
      </c>
      <c r="H11" s="37">
        <v>0</v>
      </c>
      <c r="I11" s="81">
        <v>0</v>
      </c>
      <c r="J11" s="134">
        <v>0</v>
      </c>
      <c r="K11" s="24">
        <f>'Basic Data'!B9</f>
        <v>0.33</v>
      </c>
      <c r="L11" s="140">
        <v>0</v>
      </c>
      <c r="M11" s="135">
        <f>L11*K11</f>
        <v>0</v>
      </c>
      <c r="N11" s="131">
        <f>(M11+J11)*'Basic Data'!$B$37</f>
        <v>0</v>
      </c>
      <c r="O11" s="146">
        <f>SUM(F11:I11,N11)</f>
        <v>600</v>
      </c>
      <c r="P11" s="132">
        <v>1500</v>
      </c>
      <c r="Q11" s="133">
        <v>1500</v>
      </c>
    </row>
    <row r="12" spans="1:18">
      <c r="A12" s="2" t="str">
        <f>Lists!C12</f>
        <v>3 - Assess DU every 2yrs</v>
      </c>
      <c r="B12" s="6">
        <f>AVERAGE(P12:Q12)</f>
        <v>1500</v>
      </c>
      <c r="C12" s="19">
        <v>0</v>
      </c>
      <c r="D12" s="20">
        <v>2</v>
      </c>
      <c r="E12" s="19">
        <v>0</v>
      </c>
      <c r="F12" s="19">
        <f>B12/D12</f>
        <v>750</v>
      </c>
      <c r="G12" s="21">
        <v>0</v>
      </c>
      <c r="H12" s="37">
        <v>0</v>
      </c>
      <c r="I12" s="81">
        <v>0</v>
      </c>
      <c r="J12" s="134">
        <v>0</v>
      </c>
      <c r="K12" s="24">
        <f>'Basic Data'!B8</f>
        <v>0.5</v>
      </c>
      <c r="L12" s="140">
        <v>0</v>
      </c>
      <c r="M12" s="135">
        <f>L12*K12</f>
        <v>0</v>
      </c>
      <c r="N12" s="131">
        <f>(M12+J12)*'Basic Data'!$B$37</f>
        <v>0</v>
      </c>
      <c r="O12" s="146">
        <f>SUM(F12:I12,N12)</f>
        <v>750</v>
      </c>
      <c r="P12" s="132">
        <v>1500</v>
      </c>
      <c r="Q12" s="133">
        <v>1500</v>
      </c>
    </row>
    <row r="13" spans="1:18">
      <c r="A13" s="2"/>
      <c r="B13" s="6"/>
      <c r="C13" s="19"/>
      <c r="D13" s="20"/>
      <c r="E13" s="19"/>
      <c r="F13" s="19"/>
      <c r="G13" s="21"/>
      <c r="H13" s="37"/>
      <c r="I13" s="22"/>
      <c r="J13" s="7"/>
      <c r="K13" s="23"/>
      <c r="L13" s="24"/>
      <c r="M13" s="25"/>
      <c r="N13" s="15"/>
      <c r="O13" s="146"/>
      <c r="P13" s="26"/>
      <c r="Q13" s="10"/>
    </row>
    <row r="14" spans="1:18">
      <c r="A14" s="16" t="s">
        <v>103</v>
      </c>
      <c r="B14" s="8"/>
      <c r="C14" s="17"/>
      <c r="D14" s="17"/>
      <c r="E14" s="17"/>
      <c r="F14" s="17"/>
      <c r="G14" s="18"/>
      <c r="H14" s="18"/>
      <c r="I14" s="18"/>
      <c r="J14" s="8"/>
      <c r="K14" s="17"/>
      <c r="L14" s="17"/>
      <c r="M14" s="17"/>
      <c r="N14" s="32"/>
      <c r="O14" s="147"/>
      <c r="P14" s="17"/>
      <c r="Q14" s="31"/>
    </row>
    <row r="15" spans="1:18">
      <c r="A15" s="2" t="str">
        <f>Lists!D10</f>
        <v>1 - Manual, hand calculated</v>
      </c>
      <c r="B15" s="6">
        <v>0</v>
      </c>
      <c r="C15" s="19">
        <v>0</v>
      </c>
      <c r="D15" s="20">
        <v>0</v>
      </c>
      <c r="E15" s="19">
        <v>0</v>
      </c>
      <c r="F15" s="19">
        <f>IFERROR(('Basic Data'!$B$18/(1-(1+'Basic Data'!$B$18)^-D15))*(B15+C15-E15)+(E15*'Basic Data'!$B$18),0)</f>
        <v>0</v>
      </c>
      <c r="G15" s="21">
        <f>'Basic Data'!$B$20*(B15+E15/2)</f>
        <v>0</v>
      </c>
      <c r="H15" s="37">
        <f>'Basic Data'!$B$19*(B15+E15)/2</f>
        <v>0</v>
      </c>
      <c r="I15" s="37">
        <f>0.02*B15</f>
        <v>0</v>
      </c>
      <c r="J15" s="134">
        <v>0</v>
      </c>
      <c r="K15" s="23">
        <f>'Basic Data'!B7*3</f>
        <v>3</v>
      </c>
      <c r="L15" s="24">
        <v>0.5</v>
      </c>
      <c r="M15" s="25">
        <f>L15*K15</f>
        <v>1.5</v>
      </c>
      <c r="N15" s="15">
        <f>(M15+J15)*'Basic Data'!$B$37</f>
        <v>62.597135181772487</v>
      </c>
      <c r="O15" s="146">
        <f>SUM(F15:I15,N15)</f>
        <v>62.597135181772487</v>
      </c>
      <c r="P15" s="132">
        <v>0</v>
      </c>
      <c r="Q15" s="133">
        <v>0</v>
      </c>
    </row>
    <row r="16" spans="1:18">
      <c r="A16" s="2" t="str">
        <f>Lists!D11</f>
        <v>2a - Manual, propeller meter</v>
      </c>
      <c r="B16" s="6">
        <f>AVERAGE(P16:Q16)+'Basic Data'!B22*AVERAGE(P16:Q16)</f>
        <v>1533.75</v>
      </c>
      <c r="C16" s="19">
        <f>4*'Basic Data'!$B$37</f>
        <v>166.92569381805995</v>
      </c>
      <c r="D16" s="35">
        <v>15</v>
      </c>
      <c r="E16" s="19">
        <f>B16*0.07</f>
        <v>107.36250000000001</v>
      </c>
      <c r="F16" s="19">
        <f>IFERROR(('Basic Data'!$B$18/(1-(1+'Basic Data'!$B$18)^-D16))*(B16+C16-E16)+(E16*'Basic Data'!$B$18),0)</f>
        <v>176.43185479750278</v>
      </c>
      <c r="G16" s="21">
        <f>'Basic Data'!$B$20*(B16+E16/2)</f>
        <v>13.429668375000002</v>
      </c>
      <c r="H16" s="37">
        <f>'Basic Data'!$B$19*(B16+E16)/2</f>
        <v>8.2055624999999992</v>
      </c>
      <c r="I16" s="37">
        <f>(0.02*B16)+(175/3)</f>
        <v>89.00833333333334</v>
      </c>
      <c r="J16" s="85">
        <v>4.1669999999999998</v>
      </c>
      <c r="K16" s="23">
        <f>'Basic Data'!B4</f>
        <v>30</v>
      </c>
      <c r="L16" s="84">
        <v>8.3299999999999999E-2</v>
      </c>
      <c r="M16" s="25">
        <f>L16*K16</f>
        <v>2.4990000000000001</v>
      </c>
      <c r="N16" s="15">
        <f>(M16+J16)*'Basic Data'!$B$37</f>
        <v>278.18166874779695</v>
      </c>
      <c r="O16" s="146">
        <f>SUM(F16:I16,N16)</f>
        <v>565.25708775363307</v>
      </c>
      <c r="P16" s="132">
        <v>1500</v>
      </c>
      <c r="Q16" s="133">
        <v>1500</v>
      </c>
    </row>
    <row r="17" spans="1:18">
      <c r="A17" s="2" t="str">
        <f>Lists!D12</f>
        <v>2b - Manual, mag meter</v>
      </c>
      <c r="B17" s="6">
        <f>AVERAGE(P17:Q17)+'Basic Data'!B22*AVERAGE(P17:Q17)</f>
        <v>3272</v>
      </c>
      <c r="C17" s="19">
        <f>4*'Basic Data'!$B$37</f>
        <v>166.92569381805995</v>
      </c>
      <c r="D17" s="35">
        <v>15</v>
      </c>
      <c r="E17" s="19">
        <f>B17*0.07</f>
        <v>229.04000000000002</v>
      </c>
      <c r="F17" s="19">
        <f>IFERROR(('Basic Data'!$B$18/(1-(1+'Basic Data'!$B$18)^-D17))*(B17+C17-E17)+(E17*'Basic Data'!$B$18),0)</f>
        <v>356.26787653729139</v>
      </c>
      <c r="G17" s="21">
        <f>'Basic Data'!$B$20*(B17+E17/2)</f>
        <v>28.649959200000001</v>
      </c>
      <c r="H17" s="37">
        <f>'Basic Data'!$B$19*(B17+E17)/2</f>
        <v>17.505199999999999</v>
      </c>
      <c r="I17" s="37">
        <f>(0.02*B17)+(175/3)</f>
        <v>123.77333333333334</v>
      </c>
      <c r="J17" s="85">
        <v>0.16700000000000001</v>
      </c>
      <c r="K17" s="23">
        <f>'Basic Data'!B4</f>
        <v>30</v>
      </c>
      <c r="L17" s="84">
        <v>8.3299999999999999E-2</v>
      </c>
      <c r="M17" s="25">
        <f>L17*K17</f>
        <v>2.4990000000000001</v>
      </c>
      <c r="N17" s="15">
        <f>(M17+J17)*'Basic Data'!$B$37</f>
        <v>111.25597492973695</v>
      </c>
      <c r="O17" s="146">
        <f>SUM(F17:I17,N17)</f>
        <v>637.45234400036168</v>
      </c>
      <c r="P17" s="132">
        <v>3200</v>
      </c>
      <c r="Q17" s="133">
        <v>3200</v>
      </c>
      <c r="R17" s="26"/>
    </row>
    <row r="18" spans="1:18">
      <c r="A18" s="2" t="str">
        <f>Lists!D13</f>
        <v>3a - Automated, prop meter + telemetry</v>
      </c>
      <c r="B18" s="6">
        <f>AVERAGE(P18:Q18)+'Basic Data'!B22*AVERAGE(P18:Q18)</f>
        <v>3681</v>
      </c>
      <c r="C18" s="19">
        <f>8*'Basic Data'!$B$37</f>
        <v>333.85138763611991</v>
      </c>
      <c r="D18" s="35">
        <v>15</v>
      </c>
      <c r="E18" s="19">
        <f>B18*0.07</f>
        <v>257.67</v>
      </c>
      <c r="F18" s="19">
        <f>IFERROR(('Basic Data'!$B$18/(1-(1+'Basic Data'!$B$18)^-D18))*(B18+C18-E18)+(E18*'Basic Data'!$B$18),0)</f>
        <v>416.33524667963684</v>
      </c>
      <c r="G18" s="21">
        <f>'Basic Data'!$B$20*(B18+E18/2)</f>
        <v>32.231204099999999</v>
      </c>
      <c r="H18" s="37">
        <f>'Basic Data'!$B$19*(B18+E18)/2</f>
        <v>19.693350000000002</v>
      </c>
      <c r="I18" s="37">
        <f>(0.02*B18)+300+(175/3)</f>
        <v>431.95333333333332</v>
      </c>
      <c r="J18" s="85">
        <v>4.1669999999999998</v>
      </c>
      <c r="K18" s="23">
        <f>'Basic Data'!B3</f>
        <v>210</v>
      </c>
      <c r="L18" s="140">
        <v>0</v>
      </c>
      <c r="M18" s="135">
        <f>L18*K18</f>
        <v>0</v>
      </c>
      <c r="N18" s="15">
        <f>(M18+J18)*'Basic Data'!$B$37</f>
        <v>173.89484153496394</v>
      </c>
      <c r="O18" s="146">
        <f>SUM(F18:I18,N18)</f>
        <v>1074.1079756479342</v>
      </c>
      <c r="P18" s="132">
        <f>P16+600+1500</f>
        <v>3600</v>
      </c>
      <c r="Q18" s="133">
        <f>Q16+600+1500</f>
        <v>3600</v>
      </c>
    </row>
    <row r="19" spans="1:18">
      <c r="A19" s="2" t="str">
        <f>Lists!D14</f>
        <v>3b - Automated, mag meter + telemetry</v>
      </c>
      <c r="B19" s="6">
        <f>AVERAGE(P19:Q19)+'Basic Data'!B22*AVERAGE(P19:Q19)</f>
        <v>4805.75</v>
      </c>
      <c r="C19" s="19">
        <f>8*'Basic Data'!$B$37</f>
        <v>333.85138763611991</v>
      </c>
      <c r="D19" s="35">
        <v>15</v>
      </c>
      <c r="E19" s="19">
        <f>B19*0.07</f>
        <v>336.40250000000003</v>
      </c>
      <c r="F19" s="19">
        <f>IFERROR(('Basic Data'!$B$18/(1-(1+'Basic Data'!$B$18)^-D19))*(B19+C19-E19)+(E19*'Basic Data'!$B$18),0)</f>
        <v>532.69973133479414</v>
      </c>
      <c r="G19" s="21">
        <f>'Basic Data'!$B$20*(B19+E19/2)</f>
        <v>42.079627575000004</v>
      </c>
      <c r="H19" s="37">
        <f>'Basic Data'!$B$19*(B19+E19)/2</f>
        <v>25.710762500000001</v>
      </c>
      <c r="I19" s="37">
        <f>(0.02*B19)+300+(175/3)</f>
        <v>454.44833333333332</v>
      </c>
      <c r="J19" s="85">
        <v>0.16700000000000001</v>
      </c>
      <c r="K19" s="23">
        <f>'Basic Data'!B3</f>
        <v>210</v>
      </c>
      <c r="L19" s="140">
        <v>0</v>
      </c>
      <c r="M19" s="135">
        <f>L19*K19</f>
        <v>0</v>
      </c>
      <c r="N19" s="15">
        <f>(M19+J19)*'Basic Data'!$B$37</f>
        <v>6.9691477169040033</v>
      </c>
      <c r="O19" s="146">
        <f>SUM(F19:I19,N19)</f>
        <v>1061.9076024600315</v>
      </c>
      <c r="P19" s="132">
        <f>P17+1500</f>
        <v>4700</v>
      </c>
      <c r="Q19" s="133">
        <f>Q17+1500</f>
        <v>4700</v>
      </c>
    </row>
    <row r="20" spans="1:18">
      <c r="A20" s="2"/>
      <c r="B20" s="5"/>
      <c r="H20" s="27"/>
      <c r="I20" s="27"/>
      <c r="J20" s="5"/>
      <c r="N20" s="15"/>
      <c r="O20" s="148"/>
      <c r="Q20" s="9"/>
    </row>
    <row r="21" spans="1:18" ht="17.45" customHeight="1">
      <c r="A21" s="16" t="s">
        <v>104</v>
      </c>
      <c r="B21" s="8"/>
      <c r="C21" s="17"/>
      <c r="D21" s="17"/>
      <c r="E21" s="17"/>
      <c r="F21" s="17"/>
      <c r="G21" s="18"/>
      <c r="H21" s="17"/>
      <c r="I21" s="17"/>
      <c r="J21" s="8"/>
      <c r="K21" s="17"/>
      <c r="L21" s="17"/>
      <c r="M21" s="17"/>
      <c r="N21" s="17"/>
      <c r="O21" s="147"/>
      <c r="P21" s="82"/>
      <c r="Q21" s="83"/>
    </row>
    <row r="22" spans="1:18">
      <c r="A22" s="2" t="str">
        <f>Lists!E10</f>
        <v>1 - Manual, auger, monthly</v>
      </c>
      <c r="B22" s="6">
        <f>AVERAGE(P22:Q22)+'Basic Data'!B22*AVERAGE(P22:Q22)</f>
        <v>440.69749999999999</v>
      </c>
      <c r="C22" s="19">
        <v>0</v>
      </c>
      <c r="D22" s="20">
        <v>25</v>
      </c>
      <c r="E22" s="19">
        <f>B22*0.07</f>
        <v>30.848825000000001</v>
      </c>
      <c r="F22" s="19">
        <f>IFERROR(('Basic Data'!$B$18/(1-(1+'Basic Data'!$B$18)^-D22))*(B22+C22-E22)+(E22*'Basic Data'!$B$18),0)</f>
        <v>35.605175021808805</v>
      </c>
      <c r="G22" s="21">
        <v>0</v>
      </c>
      <c r="H22" s="37">
        <v>0</v>
      </c>
      <c r="I22" s="37">
        <f>(0.02*B22)+((200*2)/D22)</f>
        <v>24.813949999999998</v>
      </c>
      <c r="J22" s="134">
        <v>0</v>
      </c>
      <c r="K22" s="23">
        <f>'Basic Data'!B6</f>
        <v>8</v>
      </c>
      <c r="L22" s="84">
        <f>0.25*4</f>
        <v>1</v>
      </c>
      <c r="M22" s="25">
        <f>L22*K22</f>
        <v>8</v>
      </c>
      <c r="N22" s="15">
        <f>(M22+J22)*'Basic Data'!$B$37</f>
        <v>333.85138763611991</v>
      </c>
      <c r="O22" s="146">
        <f>SUM(F22:I22,N22)</f>
        <v>394.27051265792869</v>
      </c>
      <c r="P22" s="132">
        <v>150</v>
      </c>
      <c r="Q22" s="133">
        <v>712</v>
      </c>
    </row>
    <row r="23" spans="1:18">
      <c r="A23" s="2" t="str">
        <f>Lists!E11</f>
        <v>2 - Manual, 3 tensiometers, biweekly</v>
      </c>
      <c r="B23" s="6">
        <f>AVERAGE(P23:Q23)+'Basic Data'!B22*AVERAGE(P23:Q23)</f>
        <v>325.15499999999997</v>
      </c>
      <c r="C23" s="149">
        <f>2*'Basic Data'!B37</f>
        <v>83.462846909029977</v>
      </c>
      <c r="D23" s="20">
        <v>10</v>
      </c>
      <c r="E23" s="19">
        <f>B23*0.07</f>
        <v>22.760850000000001</v>
      </c>
      <c r="F23" s="19">
        <f>IFERROR(('Basic Data'!$B$18/(1-(1+'Basic Data'!$B$18)^-D23))*(B23+C23-E23)+(E23*'Basic Data'!$B$18),0)</f>
        <v>55.153973210841414</v>
      </c>
      <c r="G23" s="21">
        <f>'Basic Data'!$B$20*(B23+E23/2)</f>
        <v>2.8470896954999998</v>
      </c>
      <c r="H23" s="37">
        <f>'Basic Data'!$B$19*(B23+E23)/2</f>
        <v>1.73957925</v>
      </c>
      <c r="I23" s="37">
        <f>(0.02*B23)+(31/D23)+(70*5/D23)+(15*3/D23)</f>
        <v>49.103099999999998</v>
      </c>
      <c r="J23" s="145">
        <v>8</v>
      </c>
      <c r="K23" s="23">
        <f>'Basic Data'!B5</f>
        <v>15</v>
      </c>
      <c r="L23" s="84">
        <v>0.25</v>
      </c>
      <c r="M23" s="25">
        <f>L23*K23</f>
        <v>3.75</v>
      </c>
      <c r="N23" s="15">
        <f>(M23+J23)*'Basic Data'!$B$37</f>
        <v>490.3442255905511</v>
      </c>
      <c r="O23" s="146">
        <f>SUM(F23:I23,N23)</f>
        <v>599.18796774689258</v>
      </c>
      <c r="P23" s="132">
        <f>85*3</f>
        <v>255</v>
      </c>
      <c r="Q23" s="133">
        <f>127*3</f>
        <v>381</v>
      </c>
      <c r="R23" s="26"/>
    </row>
    <row r="24" spans="1:18">
      <c r="A24" s="2" t="str">
        <f>Lists!E12</f>
        <v>3a - Manual, 3 granular blocks, biweekly</v>
      </c>
      <c r="B24" s="6">
        <f>AVERAGE(P24:Q24)+'Basic Data'!B22*AVERAGE(P24:Q24)</f>
        <v>455.01249999999999</v>
      </c>
      <c r="C24" s="149">
        <f>1*'Basic Data'!B37</f>
        <v>41.731423454514989</v>
      </c>
      <c r="D24" s="20">
        <v>10</v>
      </c>
      <c r="E24" s="19">
        <f>B24*0.07</f>
        <v>31.850875000000002</v>
      </c>
      <c r="F24" s="19">
        <f>IFERROR(('Basic Data'!$B$18/(1-(1+'Basic Data'!$B$18)^-D24))*(B24+C24-E24)+(E24*'Basic Data'!$B$18),0)</f>
        <v>66.739110289299902</v>
      </c>
      <c r="G24" s="21">
        <f>'Basic Data'!$B$20*(B24+E24/2)</f>
        <v>3.9841349512500002</v>
      </c>
      <c r="H24" s="37">
        <f>'Basic Data'!$B$19*(B24+E24)/2</f>
        <v>2.4343168749999999</v>
      </c>
      <c r="I24" s="37">
        <f>0.02*B24</f>
        <v>9.1002500000000008</v>
      </c>
      <c r="J24" s="145">
        <v>8</v>
      </c>
      <c r="K24" s="23">
        <f>'Basic Data'!B5</f>
        <v>15</v>
      </c>
      <c r="L24" s="84">
        <v>0.25</v>
      </c>
      <c r="M24" s="25">
        <f>L24*K24</f>
        <v>3.75</v>
      </c>
      <c r="N24" s="15">
        <f>(M24+J24)*'Basic Data'!$B$37</f>
        <v>490.3442255905511</v>
      </c>
      <c r="O24" s="146">
        <f>SUM(F24:I24,N24)</f>
        <v>572.60203770610099</v>
      </c>
      <c r="P24" s="132">
        <f>(45*3)+225</f>
        <v>360</v>
      </c>
      <c r="Q24" s="133">
        <f>(85*3)+275</f>
        <v>530</v>
      </c>
    </row>
    <row r="25" spans="1:18">
      <c r="A25" s="2" t="str">
        <f>Lists!E13</f>
        <v>3b - Automated, 3 probes + telemetry</v>
      </c>
      <c r="B25" s="6">
        <f>AVERAGE(P25:Q25)+'Basic Data'!B22*AVERAGE(P25:Q25)</f>
        <v>2451.4437499999999</v>
      </c>
      <c r="C25" s="19">
        <f>500</f>
        <v>500</v>
      </c>
      <c r="D25" s="20">
        <v>10</v>
      </c>
      <c r="E25" s="19">
        <f>B25*0.07</f>
        <v>171.60106250000001</v>
      </c>
      <c r="F25" s="19">
        <f>IFERROR(('Basic Data'!$B$18/(1-(1+'Basic Data'!$B$18)^-D25))*(B25+C25-E25)+(E25*'Basic Data'!$B$18),0)</f>
        <v>397.84322451070238</v>
      </c>
      <c r="G25" s="21">
        <f>'Basic Data'!$B$20*(B25+E25/2)</f>
        <v>21.465086619375001</v>
      </c>
      <c r="H25" s="37">
        <f>'Basic Data'!$B$19*(B25+E25)/2</f>
        <v>13.115224062499999</v>
      </c>
      <c r="I25" s="37">
        <f>(0.02*B25)+300</f>
        <v>349.02887499999997</v>
      </c>
      <c r="J25" s="145">
        <v>8</v>
      </c>
      <c r="K25" s="23">
        <f>'Basic Data'!B3</f>
        <v>210</v>
      </c>
      <c r="L25" s="140">
        <v>0</v>
      </c>
      <c r="M25" s="135">
        <v>0</v>
      </c>
      <c r="N25" s="15">
        <f>(M25+J25)*'Basic Data'!$B$37</f>
        <v>333.85138763611991</v>
      </c>
      <c r="O25" s="146">
        <f>SUM(F25:I25,N25)</f>
        <v>1115.3037978286973</v>
      </c>
      <c r="P25" s="132">
        <v>1295</v>
      </c>
      <c r="Q25" s="133">
        <v>3500</v>
      </c>
    </row>
    <row r="26" spans="1:18">
      <c r="A26" s="2"/>
      <c r="B26" s="5"/>
      <c r="H26" s="27"/>
      <c r="I26" s="27"/>
      <c r="J26" s="5"/>
      <c r="N26" s="15"/>
      <c r="O26" s="148"/>
      <c r="Q26" s="9"/>
    </row>
    <row r="27" spans="1:18">
      <c r="A27" s="16" t="s">
        <v>105</v>
      </c>
      <c r="B27" s="8"/>
      <c r="C27" s="17"/>
      <c r="D27" s="17"/>
      <c r="E27" s="17"/>
      <c r="F27" s="17"/>
      <c r="G27" s="18"/>
      <c r="H27" s="18"/>
      <c r="I27" s="18"/>
      <c r="J27" s="8"/>
      <c r="K27" s="17"/>
      <c r="L27" s="17"/>
      <c r="M27" s="17"/>
      <c r="N27" s="32"/>
      <c r="O27" s="147"/>
      <c r="P27" s="17"/>
      <c r="Q27" s="31"/>
    </row>
    <row r="28" spans="1:18">
      <c r="A28" s="2" t="str">
        <f>Lists!F10</f>
        <v>1 - Manual, visually</v>
      </c>
      <c r="B28" s="6">
        <v>0</v>
      </c>
      <c r="C28" s="19">
        <v>0</v>
      </c>
      <c r="D28" s="20">
        <v>0</v>
      </c>
      <c r="E28" s="19">
        <f>B28*0.07</f>
        <v>0</v>
      </c>
      <c r="F28" s="19">
        <f>IFERROR(('Basic Data'!$B$18/(1-(1+'Basic Data'!$B$18)^-D28))*(B28+C28-E28)+(E28*'Basic Data'!$B$18),0)</f>
        <v>0</v>
      </c>
      <c r="G28" s="21">
        <f>'Basic Data'!$B$20*(B28+E28/2)</f>
        <v>0</v>
      </c>
      <c r="H28" s="37">
        <f>'Basic Data'!$B$19*(B28+E28)/2</f>
        <v>0</v>
      </c>
      <c r="I28" s="37">
        <f>0.02*B28</f>
        <v>0</v>
      </c>
      <c r="J28" s="134">
        <v>0</v>
      </c>
      <c r="K28" s="23">
        <f>'Basic Data'!B4</f>
        <v>30</v>
      </c>
      <c r="L28" s="24">
        <v>1</v>
      </c>
      <c r="M28" s="25">
        <f>L28*K28</f>
        <v>30</v>
      </c>
      <c r="N28" s="15">
        <f>(M28+J28)*'Basic Data'!$B$37</f>
        <v>1251.9427036354496</v>
      </c>
      <c r="O28" s="146">
        <f>SUM(F28:I28,N28)</f>
        <v>1251.9427036354496</v>
      </c>
      <c r="P28" s="132">
        <v>0</v>
      </c>
      <c r="Q28" s="133">
        <v>0</v>
      </c>
    </row>
    <row r="29" spans="1:18">
      <c r="A29" s="2" t="str">
        <f>Lists!F11</f>
        <v>2 - Manual, pressure chamber, biweekly</v>
      </c>
      <c r="B29" s="6">
        <f>AVERAGE(P29:Q29)+'Basic Data'!B22*AVERAGE(P29:Q29)</f>
        <v>2707.0687499999999</v>
      </c>
      <c r="C29" s="19">
        <v>0</v>
      </c>
      <c r="D29" s="20">
        <v>20</v>
      </c>
      <c r="E29" s="19">
        <f>B29*0.07</f>
        <v>189.49481250000002</v>
      </c>
      <c r="F29" s="19">
        <f>IFERROR(('Basic Data'!$B$18/(1-(1+'Basic Data'!$B$18)^-D29))*(B29+C29-E29)+(E29*'Basic Data'!$B$18),0)</f>
        <v>240.80309842801358</v>
      </c>
      <c r="G29" s="21">
        <f>'Basic Data'!$B$20*(B29+E29/2)</f>
        <v>23.703364681875001</v>
      </c>
      <c r="H29" s="37">
        <f>'Basic Data'!$B$19*(B29+E29)/2</f>
        <v>14.4828178125</v>
      </c>
      <c r="I29" s="37">
        <f>0.02*B29+(110/2)</f>
        <v>109.141375</v>
      </c>
      <c r="J29" s="134">
        <v>0</v>
      </c>
      <c r="K29" s="23">
        <f>'Basic Data'!B5</f>
        <v>15</v>
      </c>
      <c r="L29" s="84">
        <v>3</v>
      </c>
      <c r="M29" s="25">
        <f>L29*K29</f>
        <v>45</v>
      </c>
      <c r="N29" s="15">
        <f>(M29+J29)*'Basic Data'!$B$37</f>
        <v>1877.9140554531746</v>
      </c>
      <c r="O29" s="146">
        <f>SUM(F29:I29,N29)</f>
        <v>2266.0447113755631</v>
      </c>
      <c r="P29" s="132">
        <v>1795</v>
      </c>
      <c r="Q29" s="133">
        <v>3500</v>
      </c>
    </row>
    <row r="30" spans="1:18">
      <c r="A30" s="2" t="str">
        <f>Lists!F12</f>
        <v>3 - Automated, LEASED plant-based sensors</v>
      </c>
      <c r="B30" s="142">
        <v>0</v>
      </c>
      <c r="C30" s="149">
        <f>1000</f>
        <v>1000</v>
      </c>
      <c r="D30" s="160">
        <v>25</v>
      </c>
      <c r="E30" s="149">
        <v>0</v>
      </c>
      <c r="F30" s="19">
        <f>IFERROR(('Basic Data'!$B$18/(1-(1+'Basic Data'!$B$18)^-D30))*(B30+C30-E30)+(E30*'Basic Data'!$B$18),0)</f>
        <v>81.981481083984974</v>
      </c>
      <c r="G30" s="21">
        <v>0</v>
      </c>
      <c r="H30" s="161">
        <f>'Basic Data'!$B$19*(B30+E30)/2</f>
        <v>0</v>
      </c>
      <c r="I30" s="149">
        <f>AVERAGE($P$30:$Q$30)+0.0725*AVERAGE($P$30:$Q$30)</f>
        <v>2252.25</v>
      </c>
      <c r="J30" s="138">
        <v>0</v>
      </c>
      <c r="K30" s="86">
        <f>'Basic Data'!B3</f>
        <v>210</v>
      </c>
      <c r="L30" s="137">
        <v>0</v>
      </c>
      <c r="M30" s="137">
        <f>L30*K30</f>
        <v>0</v>
      </c>
      <c r="N30" s="139">
        <f>(M30+J30)*'Basic Data'!$B$37</f>
        <v>0</v>
      </c>
      <c r="O30" s="146">
        <f>SUM(F30:I30,N30)</f>
        <v>2334.2314810839848</v>
      </c>
      <c r="P30" s="132">
        <v>1800</v>
      </c>
      <c r="Q30" s="133">
        <v>2400</v>
      </c>
    </row>
    <row r="31" spans="1:18">
      <c r="A31" s="89"/>
      <c r="B31" s="90"/>
      <c r="C31" s="90"/>
      <c r="D31" s="90"/>
      <c r="E31" s="90"/>
      <c r="F31" s="90"/>
      <c r="G31" s="91"/>
      <c r="H31" s="27"/>
      <c r="I31" s="91"/>
      <c r="J31" s="90"/>
      <c r="K31" s="90"/>
      <c r="L31" s="90"/>
      <c r="M31" s="90"/>
      <c r="N31" s="92"/>
      <c r="O31" s="90"/>
      <c r="P31" s="90"/>
      <c r="Q31" s="90"/>
    </row>
    <row r="32" spans="1:18">
      <c r="A32" s="237" t="s">
        <v>106</v>
      </c>
      <c r="B32" s="237"/>
      <c r="C32" s="237"/>
      <c r="D32" s="237"/>
      <c r="E32" s="237"/>
      <c r="F32" s="237"/>
      <c r="G32" s="237"/>
      <c r="H32" s="237"/>
      <c r="I32" s="237"/>
      <c r="J32" s="237"/>
      <c r="K32" s="237"/>
      <c r="L32" s="237"/>
      <c r="M32" s="237"/>
      <c r="N32" s="237"/>
      <c r="O32" s="237"/>
      <c r="P32" s="237"/>
      <c r="Q32" s="237"/>
    </row>
    <row r="33" spans="1:17">
      <c r="A33" s="200" t="s">
        <v>107</v>
      </c>
      <c r="B33" s="200"/>
      <c r="C33" s="200"/>
      <c r="D33" s="200"/>
      <c r="E33" s="200"/>
      <c r="F33" s="200"/>
      <c r="G33" s="200"/>
      <c r="H33" s="200"/>
      <c r="I33" s="200"/>
      <c r="J33" s="200"/>
      <c r="K33" s="200"/>
      <c r="L33" s="200"/>
      <c r="M33" s="200"/>
      <c r="N33" s="200"/>
      <c r="O33" s="200"/>
      <c r="P33" s="200"/>
      <c r="Q33" s="200"/>
    </row>
    <row r="34" spans="1:17">
      <c r="A34" s="230" t="s">
        <v>108</v>
      </c>
      <c r="B34" s="230"/>
      <c r="C34" s="230"/>
      <c r="D34" s="230"/>
      <c r="E34" s="230"/>
      <c r="F34" s="230"/>
      <c r="G34" s="230"/>
      <c r="H34" s="230"/>
      <c r="I34" s="230"/>
      <c r="J34" s="230"/>
      <c r="K34" s="230"/>
      <c r="L34" s="230"/>
      <c r="M34" s="230"/>
      <c r="N34" s="230"/>
      <c r="O34" s="230"/>
      <c r="P34" s="230"/>
      <c r="Q34" s="230"/>
    </row>
    <row r="35" spans="1:17">
      <c r="A35" s="230"/>
      <c r="B35" s="230"/>
      <c r="C35" s="230"/>
      <c r="D35" s="230"/>
      <c r="E35" s="230"/>
      <c r="F35" s="230"/>
      <c r="G35" s="230"/>
      <c r="H35" s="230"/>
      <c r="I35" s="230"/>
      <c r="J35" s="230"/>
      <c r="K35" s="230"/>
      <c r="L35" s="230"/>
      <c r="M35" s="230"/>
      <c r="N35" s="230"/>
      <c r="O35" s="230"/>
      <c r="P35" s="230"/>
      <c r="Q35" s="230"/>
    </row>
    <row r="36" spans="1:17">
      <c r="A36" s="200" t="s">
        <v>109</v>
      </c>
      <c r="B36" s="200"/>
      <c r="C36" s="200"/>
      <c r="D36" s="200"/>
      <c r="E36" s="200"/>
      <c r="F36" s="200"/>
      <c r="G36" s="200"/>
      <c r="H36" s="200"/>
      <c r="I36" s="200"/>
      <c r="J36" s="200"/>
      <c r="K36" s="200"/>
      <c r="L36" s="200"/>
      <c r="M36" s="200"/>
      <c r="N36" s="200"/>
      <c r="O36" s="200"/>
      <c r="P36" s="200"/>
      <c r="Q36" s="200"/>
    </row>
    <row r="37" spans="1:17">
      <c r="A37" s="230" t="s">
        <v>110</v>
      </c>
      <c r="B37" s="230"/>
      <c r="C37" s="230"/>
      <c r="D37" s="230"/>
      <c r="E37" s="230"/>
      <c r="F37" s="230"/>
      <c r="G37" s="230"/>
      <c r="H37" s="230"/>
      <c r="I37" s="230"/>
      <c r="J37" s="230"/>
      <c r="K37" s="230"/>
      <c r="L37" s="230"/>
      <c r="M37" s="230"/>
      <c r="N37" s="230"/>
      <c r="O37" s="230"/>
      <c r="P37" s="230"/>
      <c r="Q37" s="230"/>
    </row>
    <row r="38" spans="1:17">
      <c r="A38" s="230"/>
      <c r="B38" s="230"/>
      <c r="C38" s="230"/>
      <c r="D38" s="230"/>
      <c r="E38" s="230"/>
      <c r="F38" s="230"/>
      <c r="G38" s="230"/>
      <c r="H38" s="230"/>
      <c r="I38" s="230"/>
      <c r="J38" s="230"/>
      <c r="K38" s="230"/>
      <c r="L38" s="230"/>
      <c r="M38" s="230"/>
      <c r="N38" s="230"/>
      <c r="O38" s="230"/>
      <c r="P38" s="230"/>
      <c r="Q38" s="230"/>
    </row>
    <row r="39" spans="1:17">
      <c r="A39" s="200" t="s">
        <v>111</v>
      </c>
      <c r="B39" s="200"/>
      <c r="C39" s="200"/>
      <c r="D39" s="200"/>
      <c r="E39" s="200"/>
      <c r="F39" s="200"/>
      <c r="G39" s="200"/>
      <c r="H39" s="200"/>
      <c r="I39" s="200"/>
      <c r="J39" s="200"/>
      <c r="K39" s="200"/>
      <c r="L39" s="200"/>
      <c r="M39" s="200"/>
      <c r="N39" s="200"/>
      <c r="O39" s="200"/>
      <c r="P39" s="200"/>
      <c r="Q39" s="200"/>
    </row>
    <row r="40" spans="1:17">
      <c r="A40" s="200" t="s">
        <v>112</v>
      </c>
      <c r="B40" s="200"/>
      <c r="C40" s="200"/>
      <c r="D40" s="200"/>
      <c r="E40" s="200"/>
      <c r="F40" s="200"/>
      <c r="G40" s="200"/>
      <c r="H40" s="200"/>
      <c r="I40" s="200"/>
      <c r="J40" s="200"/>
      <c r="K40" s="200"/>
      <c r="L40" s="200"/>
      <c r="M40" s="200"/>
      <c r="N40" s="200"/>
      <c r="O40" s="200"/>
      <c r="P40" s="200"/>
      <c r="Q40" s="200"/>
    </row>
    <row r="41" spans="1:17">
      <c r="A41" s="200" t="s">
        <v>113</v>
      </c>
      <c r="B41" s="200"/>
      <c r="C41" s="200"/>
      <c r="D41" s="200"/>
      <c r="E41" s="200"/>
      <c r="F41" s="200"/>
      <c r="G41" s="200"/>
      <c r="H41" s="200"/>
      <c r="I41" s="200"/>
      <c r="J41" s="200"/>
      <c r="K41" s="200"/>
      <c r="L41" s="200"/>
      <c r="M41" s="200"/>
      <c r="N41" s="200"/>
      <c r="O41" s="200"/>
      <c r="P41" s="200"/>
      <c r="Q41" s="200"/>
    </row>
    <row r="42" spans="1:17">
      <c r="A42" s="200" t="s">
        <v>114</v>
      </c>
      <c r="B42" s="200"/>
      <c r="C42" s="200"/>
      <c r="D42" s="200"/>
      <c r="E42" s="200"/>
      <c r="F42" s="200"/>
      <c r="G42" s="200"/>
      <c r="H42" s="200"/>
      <c r="I42" s="200"/>
      <c r="J42" s="200"/>
      <c r="K42" s="200"/>
      <c r="L42" s="200"/>
      <c r="M42" s="200"/>
      <c r="N42" s="200"/>
      <c r="O42" s="200"/>
      <c r="P42" s="200"/>
      <c r="Q42" s="200"/>
    </row>
    <row r="43" spans="1:17">
      <c r="A43" s="200" t="s">
        <v>115</v>
      </c>
      <c r="B43" s="200"/>
      <c r="C43" s="200"/>
      <c r="D43" s="200"/>
      <c r="E43" s="200"/>
      <c r="F43" s="200"/>
      <c r="G43" s="200"/>
      <c r="H43" s="200"/>
      <c r="I43" s="200"/>
      <c r="J43" s="200"/>
      <c r="K43" s="200"/>
      <c r="L43" s="200"/>
      <c r="M43" s="200"/>
      <c r="N43" s="200"/>
      <c r="O43" s="200"/>
      <c r="P43" s="200"/>
      <c r="Q43" s="200"/>
    </row>
    <row r="44" spans="1:17">
      <c r="A44" s="200" t="s">
        <v>116</v>
      </c>
      <c r="B44" s="200"/>
      <c r="C44" s="200"/>
      <c r="D44" s="200"/>
      <c r="E44" s="200"/>
      <c r="F44" s="200"/>
      <c r="G44" s="200"/>
      <c r="H44" s="200"/>
      <c r="I44" s="200"/>
      <c r="J44" s="200"/>
      <c r="K44" s="200"/>
      <c r="L44" s="200"/>
      <c r="M44" s="200"/>
      <c r="N44" s="200"/>
      <c r="O44" s="200"/>
      <c r="P44" s="200"/>
      <c r="Q44" s="200"/>
    </row>
    <row r="45" spans="1:17">
      <c r="A45" s="200" t="s">
        <v>117</v>
      </c>
      <c r="B45" s="200"/>
      <c r="C45" s="200"/>
      <c r="D45" s="200"/>
      <c r="E45" s="200"/>
      <c r="F45" s="200"/>
      <c r="G45" s="200"/>
      <c r="H45" s="200"/>
      <c r="I45" s="200"/>
      <c r="J45" s="200"/>
      <c r="K45" s="200"/>
      <c r="L45" s="200"/>
      <c r="M45" s="200"/>
      <c r="N45" s="200"/>
      <c r="O45" s="200"/>
      <c r="P45" s="200"/>
      <c r="Q45" s="200"/>
    </row>
    <row r="46" spans="1:17">
      <c r="A46" s="200" t="s">
        <v>118</v>
      </c>
      <c r="B46" s="200"/>
      <c r="C46" s="200"/>
      <c r="D46" s="200"/>
      <c r="E46" s="200"/>
      <c r="F46" s="200"/>
      <c r="G46" s="200"/>
      <c r="H46" s="200"/>
      <c r="I46" s="200"/>
      <c r="J46" s="200"/>
      <c r="K46" s="200"/>
      <c r="L46" s="200"/>
      <c r="M46" s="200"/>
      <c r="N46" s="200"/>
      <c r="O46" s="200"/>
      <c r="P46" s="200"/>
      <c r="Q46" s="200"/>
    </row>
    <row r="47" spans="1:17">
      <c r="A47" s="200" t="s">
        <v>119</v>
      </c>
      <c r="B47" s="200"/>
      <c r="C47" s="200"/>
      <c r="D47" s="200"/>
      <c r="E47" s="200"/>
      <c r="F47" s="200"/>
      <c r="G47" s="200"/>
      <c r="H47" s="200"/>
      <c r="I47" s="200"/>
      <c r="J47" s="200"/>
      <c r="K47" s="200"/>
      <c r="L47" s="200"/>
      <c r="M47" s="200"/>
      <c r="N47" s="200"/>
      <c r="O47" s="200"/>
      <c r="P47" s="200"/>
      <c r="Q47" s="200"/>
    </row>
    <row r="48" spans="1:17">
      <c r="A48" s="230" t="s">
        <v>120</v>
      </c>
      <c r="B48" s="230"/>
      <c r="C48" s="230"/>
      <c r="D48" s="230"/>
      <c r="E48" s="230"/>
      <c r="F48" s="230"/>
      <c r="G48" s="230"/>
      <c r="H48" s="230"/>
      <c r="I48" s="230"/>
      <c r="J48" s="230"/>
      <c r="K48" s="230"/>
      <c r="L48" s="230"/>
      <c r="M48" s="230"/>
      <c r="N48" s="230"/>
      <c r="O48" s="230"/>
      <c r="P48" s="230"/>
      <c r="Q48" s="230"/>
    </row>
    <row r="49" spans="1:17">
      <c r="A49" s="230"/>
      <c r="B49" s="230"/>
      <c r="C49" s="230"/>
      <c r="D49" s="230"/>
      <c r="E49" s="230"/>
      <c r="F49" s="230"/>
      <c r="G49" s="230"/>
      <c r="H49" s="230"/>
      <c r="I49" s="230"/>
      <c r="J49" s="230"/>
      <c r="K49" s="230"/>
      <c r="L49" s="230"/>
      <c r="M49" s="230"/>
      <c r="N49" s="230"/>
      <c r="O49" s="230"/>
      <c r="P49" s="230"/>
      <c r="Q49" s="230"/>
    </row>
    <row r="50" spans="1:17">
      <c r="A50" s="230" t="s">
        <v>121</v>
      </c>
      <c r="B50" s="230"/>
      <c r="C50" s="230"/>
      <c r="D50" s="230"/>
      <c r="E50" s="230"/>
      <c r="F50" s="230"/>
      <c r="G50" s="230"/>
      <c r="H50" s="230"/>
      <c r="I50" s="230"/>
      <c r="J50" s="230"/>
      <c r="K50" s="230"/>
      <c r="L50" s="230"/>
      <c r="M50" s="230"/>
      <c r="N50" s="230"/>
      <c r="O50" s="230"/>
      <c r="P50" s="230"/>
      <c r="Q50" s="230"/>
    </row>
    <row r="51" spans="1:17">
      <c r="A51" s="230"/>
      <c r="B51" s="230"/>
      <c r="C51" s="230"/>
      <c r="D51" s="230"/>
      <c r="E51" s="230"/>
      <c r="F51" s="230"/>
      <c r="G51" s="230"/>
      <c r="H51" s="230"/>
      <c r="I51" s="230"/>
      <c r="J51" s="230"/>
      <c r="K51" s="230"/>
      <c r="L51" s="230"/>
      <c r="M51" s="230"/>
      <c r="N51" s="230"/>
      <c r="O51" s="230"/>
      <c r="P51" s="230"/>
      <c r="Q51" s="230"/>
    </row>
    <row r="52" spans="1:17">
      <c r="A52" s="200" t="s">
        <v>122</v>
      </c>
      <c r="B52" s="200"/>
      <c r="C52" s="200"/>
      <c r="D52" s="200"/>
      <c r="E52" s="200"/>
      <c r="F52" s="200"/>
      <c r="G52" s="200"/>
      <c r="H52" s="200"/>
      <c r="I52" s="200"/>
      <c r="J52" s="200"/>
      <c r="K52" s="200"/>
      <c r="L52" s="200"/>
      <c r="M52" s="200"/>
      <c r="N52" s="200"/>
      <c r="O52" s="200"/>
      <c r="P52" s="200"/>
      <c r="Q52" s="200"/>
    </row>
    <row r="53" spans="1:17">
      <c r="A53" s="230" t="s">
        <v>123</v>
      </c>
      <c r="B53" s="230"/>
      <c r="C53" s="230"/>
      <c r="D53" s="230"/>
      <c r="E53" s="230"/>
      <c r="F53" s="230"/>
      <c r="G53" s="230"/>
      <c r="H53" s="230"/>
      <c r="I53" s="230"/>
      <c r="J53" s="230"/>
      <c r="K53" s="230"/>
      <c r="L53" s="230"/>
      <c r="M53" s="230"/>
      <c r="N53" s="230"/>
      <c r="O53" s="230"/>
      <c r="P53" s="230"/>
      <c r="Q53" s="230"/>
    </row>
    <row r="54" spans="1:17">
      <c r="A54" s="230"/>
      <c r="B54" s="230"/>
      <c r="C54" s="230"/>
      <c r="D54" s="230"/>
      <c r="E54" s="230"/>
      <c r="F54" s="230"/>
      <c r="G54" s="230"/>
      <c r="H54" s="230"/>
      <c r="I54" s="230"/>
      <c r="J54" s="230"/>
      <c r="K54" s="230"/>
      <c r="L54" s="230"/>
      <c r="M54" s="230"/>
      <c r="N54" s="230"/>
      <c r="O54" s="230"/>
      <c r="P54" s="230"/>
      <c r="Q54" s="230"/>
    </row>
    <row r="55" spans="1:17">
      <c r="A55" s="200" t="s">
        <v>124</v>
      </c>
      <c r="B55" s="200"/>
      <c r="C55" s="200"/>
      <c r="D55" s="200"/>
      <c r="E55" s="200"/>
      <c r="F55" s="200"/>
      <c r="G55" s="200"/>
      <c r="H55" s="200"/>
      <c r="I55" s="200"/>
      <c r="J55" s="200"/>
      <c r="K55" s="200"/>
      <c r="L55" s="200"/>
      <c r="M55" s="200"/>
      <c r="N55" s="200"/>
      <c r="O55" s="200"/>
      <c r="P55" s="200"/>
      <c r="Q55" s="200"/>
    </row>
    <row r="56" spans="1:17">
      <c r="A56" s="230" t="s">
        <v>125</v>
      </c>
      <c r="B56" s="230"/>
      <c r="C56" s="230"/>
      <c r="D56" s="230"/>
      <c r="E56" s="230"/>
      <c r="F56" s="230"/>
      <c r="G56" s="230"/>
      <c r="H56" s="230"/>
      <c r="I56" s="230"/>
      <c r="J56" s="230"/>
      <c r="K56" s="230"/>
      <c r="L56" s="230"/>
      <c r="M56" s="230"/>
      <c r="N56" s="230"/>
      <c r="O56" s="230"/>
      <c r="P56" s="230"/>
      <c r="Q56" s="230"/>
    </row>
    <row r="57" spans="1:17">
      <c r="A57" s="230"/>
      <c r="B57" s="230"/>
      <c r="C57" s="230"/>
      <c r="D57" s="230"/>
      <c r="E57" s="230"/>
      <c r="F57" s="230"/>
      <c r="G57" s="230"/>
      <c r="H57" s="230"/>
      <c r="I57" s="230"/>
      <c r="J57" s="230"/>
      <c r="K57" s="230"/>
      <c r="L57" s="230"/>
      <c r="M57" s="230"/>
      <c r="N57" s="230"/>
      <c r="O57" s="230"/>
      <c r="P57" s="230"/>
      <c r="Q57" s="230"/>
    </row>
    <row r="58" spans="1:17">
      <c r="A58" s="230" t="s">
        <v>126</v>
      </c>
      <c r="B58" s="230"/>
      <c r="C58" s="230"/>
      <c r="D58" s="230"/>
      <c r="E58" s="230"/>
      <c r="F58" s="230"/>
      <c r="G58" s="230"/>
      <c r="H58" s="230"/>
      <c r="I58" s="230"/>
      <c r="J58" s="230"/>
      <c r="K58" s="230"/>
      <c r="L58" s="230"/>
      <c r="M58" s="230"/>
      <c r="N58" s="230"/>
      <c r="O58" s="230"/>
      <c r="P58" s="230"/>
      <c r="Q58" s="230"/>
    </row>
    <row r="59" spans="1:17">
      <c r="A59" s="230"/>
      <c r="B59" s="230"/>
      <c r="C59" s="230"/>
      <c r="D59" s="230"/>
      <c r="E59" s="230"/>
      <c r="F59" s="230"/>
      <c r="G59" s="230"/>
      <c r="H59" s="230"/>
      <c r="I59" s="230"/>
      <c r="J59" s="230"/>
      <c r="K59" s="230"/>
      <c r="L59" s="230"/>
      <c r="M59" s="230"/>
      <c r="N59" s="230"/>
      <c r="O59" s="230"/>
      <c r="P59" s="230"/>
      <c r="Q59" s="230"/>
    </row>
    <row r="60" spans="1:17">
      <c r="A60" s="200" t="s">
        <v>127</v>
      </c>
      <c r="B60" s="200"/>
      <c r="C60" s="200"/>
      <c r="D60" s="200"/>
      <c r="E60" s="200"/>
      <c r="F60" s="200"/>
      <c r="G60" s="200"/>
      <c r="H60" s="200"/>
      <c r="I60" s="200"/>
      <c r="J60" s="200"/>
      <c r="K60" s="200"/>
      <c r="L60" s="200"/>
      <c r="M60" s="200"/>
      <c r="N60" s="200"/>
      <c r="O60" s="200"/>
      <c r="P60" s="200"/>
      <c r="Q60" s="200"/>
    </row>
    <row r="61" spans="1:17" ht="15" customHeight="1">
      <c r="A61" s="200" t="s">
        <v>128</v>
      </c>
      <c r="B61" s="200"/>
      <c r="C61" s="200"/>
      <c r="D61" s="200"/>
      <c r="E61" s="200"/>
      <c r="F61" s="200"/>
      <c r="G61" s="200"/>
      <c r="H61" s="200"/>
      <c r="I61" s="200"/>
      <c r="J61" s="200"/>
      <c r="K61" s="200"/>
      <c r="L61" s="200"/>
      <c r="M61" s="200"/>
      <c r="N61" s="200"/>
      <c r="O61" s="200"/>
      <c r="P61" s="200"/>
      <c r="Q61" s="200"/>
    </row>
    <row r="64" spans="1:17">
      <c r="A64" s="170" t="s">
        <v>129</v>
      </c>
      <c r="B64" s="153"/>
    </row>
    <row r="65" spans="1:17">
      <c r="A65" s="229" t="s">
        <v>130</v>
      </c>
      <c r="B65" s="229"/>
      <c r="C65" s="229"/>
      <c r="D65" s="229"/>
      <c r="E65" s="229"/>
      <c r="F65" s="229"/>
      <c r="G65" s="229"/>
      <c r="H65" s="229"/>
      <c r="I65" s="229"/>
      <c r="J65" s="229"/>
      <c r="K65" s="229"/>
      <c r="L65" s="229"/>
      <c r="M65" s="229"/>
      <c r="N65" s="229"/>
      <c r="O65" s="229"/>
      <c r="P65" s="229"/>
      <c r="Q65" s="229"/>
    </row>
    <row r="66" spans="1:17">
      <c r="A66" s="229"/>
      <c r="B66" s="229"/>
      <c r="C66" s="229"/>
      <c r="D66" s="229"/>
      <c r="E66" s="229"/>
      <c r="F66" s="229"/>
      <c r="G66" s="229"/>
      <c r="H66" s="229"/>
      <c r="I66" s="229"/>
      <c r="J66" s="229"/>
      <c r="K66" s="229"/>
      <c r="L66" s="229"/>
      <c r="M66" s="229"/>
      <c r="N66" s="229"/>
      <c r="O66" s="229"/>
      <c r="P66" s="229"/>
      <c r="Q66" s="229"/>
    </row>
    <row r="67" spans="1:17">
      <c r="A67" s="200" t="s">
        <v>131</v>
      </c>
      <c r="B67" s="200"/>
      <c r="C67" s="200"/>
      <c r="D67" s="200"/>
      <c r="E67" s="200"/>
      <c r="F67" s="200"/>
      <c r="G67" s="200"/>
      <c r="H67" s="200"/>
      <c r="I67" s="200"/>
      <c r="J67" s="200"/>
      <c r="K67" s="200"/>
      <c r="L67" s="200"/>
      <c r="M67" s="200"/>
      <c r="N67" s="200"/>
      <c r="O67" s="200"/>
      <c r="P67" s="200"/>
      <c r="Q67" s="200"/>
    </row>
    <row r="68" spans="1:17">
      <c r="A68" s="200" t="s">
        <v>132</v>
      </c>
      <c r="B68" s="200"/>
      <c r="C68" s="200"/>
      <c r="D68" s="200"/>
      <c r="E68" s="200"/>
      <c r="F68" s="200"/>
      <c r="G68" s="200"/>
      <c r="H68" s="200"/>
      <c r="I68" s="200"/>
      <c r="J68" s="200"/>
      <c r="K68" s="200"/>
      <c r="L68" s="200"/>
      <c r="M68" s="200"/>
      <c r="N68" s="200"/>
      <c r="O68" s="200"/>
      <c r="P68" s="200"/>
      <c r="Q68" s="200"/>
    </row>
    <row r="69" spans="1:17">
      <c r="A69" s="230" t="s">
        <v>133</v>
      </c>
      <c r="B69" s="230"/>
      <c r="C69" s="230"/>
      <c r="D69" s="230"/>
      <c r="E69" s="230"/>
      <c r="F69" s="230"/>
      <c r="G69" s="230"/>
      <c r="H69" s="230"/>
      <c r="I69" s="230"/>
      <c r="J69" s="230"/>
      <c r="K69" s="230"/>
      <c r="L69" s="230"/>
      <c r="M69" s="230"/>
      <c r="N69" s="230"/>
      <c r="O69" s="230"/>
      <c r="P69" s="230"/>
      <c r="Q69" s="230"/>
    </row>
    <row r="70" spans="1:17">
      <c r="A70" s="230"/>
      <c r="B70" s="230"/>
      <c r="C70" s="230"/>
      <c r="D70" s="230"/>
      <c r="E70" s="230"/>
      <c r="F70" s="230"/>
      <c r="G70" s="230"/>
      <c r="H70" s="230"/>
      <c r="I70" s="230"/>
      <c r="J70" s="230"/>
      <c r="K70" s="230"/>
      <c r="L70" s="230"/>
      <c r="M70" s="230"/>
      <c r="N70" s="230"/>
      <c r="O70" s="230"/>
      <c r="P70" s="230"/>
      <c r="Q70" s="230"/>
    </row>
    <row r="71" spans="1:17">
      <c r="A71" s="231" t="s">
        <v>134</v>
      </c>
      <c r="B71" s="231"/>
      <c r="C71" s="231"/>
      <c r="D71" s="231"/>
      <c r="E71" s="231"/>
      <c r="F71" s="231"/>
      <c r="G71" s="231"/>
      <c r="H71" s="231"/>
      <c r="I71" s="231"/>
      <c r="J71" s="231"/>
      <c r="K71" s="231"/>
      <c r="L71" s="231"/>
      <c r="M71" s="231"/>
      <c r="N71" s="231"/>
      <c r="O71" s="231"/>
      <c r="P71" s="231"/>
      <c r="Q71" s="231"/>
    </row>
    <row r="72" spans="1:17">
      <c r="A72" s="198" t="s">
        <v>135</v>
      </c>
      <c r="B72" s="198"/>
      <c r="C72" s="198"/>
      <c r="D72" s="198"/>
      <c r="E72" s="198"/>
      <c r="F72" s="198"/>
      <c r="G72" s="198"/>
      <c r="H72" s="198"/>
      <c r="I72" s="198"/>
      <c r="J72" s="198"/>
      <c r="K72" s="198"/>
      <c r="L72" s="198"/>
      <c r="M72" s="198"/>
      <c r="N72" s="198"/>
      <c r="O72" s="198"/>
      <c r="P72" s="198"/>
      <c r="Q72" s="198"/>
    </row>
    <row r="73" spans="1:17">
      <c r="A73" s="198" t="s">
        <v>136</v>
      </c>
      <c r="B73" s="198"/>
      <c r="C73" s="198"/>
      <c r="D73" s="198"/>
      <c r="E73" s="198"/>
      <c r="F73" s="198"/>
      <c r="G73" s="198"/>
      <c r="H73" s="198"/>
      <c r="I73" s="198"/>
      <c r="J73" s="198"/>
      <c r="K73" s="198"/>
      <c r="L73" s="198"/>
      <c r="M73" s="198"/>
      <c r="N73" s="198"/>
      <c r="O73" s="198"/>
      <c r="P73" s="198"/>
      <c r="Q73" s="198"/>
    </row>
    <row r="74" spans="1:17">
      <c r="A74" s="198" t="s">
        <v>137</v>
      </c>
      <c r="B74" s="198"/>
      <c r="C74" s="198"/>
      <c r="D74" s="198"/>
      <c r="E74" s="198"/>
      <c r="F74" s="198"/>
      <c r="G74" s="198"/>
      <c r="H74" s="198"/>
      <c r="I74" s="198"/>
      <c r="J74" s="198"/>
      <c r="K74" s="198"/>
      <c r="L74" s="198"/>
      <c r="M74" s="198"/>
      <c r="N74" s="198"/>
      <c r="O74" s="198"/>
      <c r="P74" s="198"/>
      <c r="Q74" s="198"/>
    </row>
    <row r="75" spans="1:17">
      <c r="A75" s="200" t="s">
        <v>138</v>
      </c>
      <c r="B75" s="200"/>
      <c r="C75" s="200"/>
      <c r="D75" s="200"/>
      <c r="E75" s="200"/>
      <c r="F75" s="200"/>
      <c r="G75" s="200"/>
      <c r="H75" s="200"/>
      <c r="I75" s="200"/>
      <c r="J75" s="200"/>
      <c r="K75" s="200"/>
      <c r="L75" s="200"/>
      <c r="M75" s="200"/>
      <c r="N75" s="200"/>
      <c r="O75" s="200"/>
      <c r="P75" s="200"/>
      <c r="Q75" s="200"/>
    </row>
    <row r="76" spans="1:17">
      <c r="A76" s="179" t="s">
        <v>139</v>
      </c>
      <c r="B76" s="179"/>
      <c r="C76" s="179"/>
      <c r="D76" s="179"/>
      <c r="E76" s="179"/>
      <c r="F76" s="179"/>
      <c r="G76" s="179"/>
      <c r="H76" s="179"/>
      <c r="I76" s="179"/>
      <c r="J76" s="179"/>
      <c r="K76" s="179"/>
      <c r="L76" s="179"/>
      <c r="M76" s="179"/>
      <c r="N76" s="179"/>
      <c r="O76" s="179"/>
      <c r="P76" s="179"/>
      <c r="Q76" s="179"/>
    </row>
    <row r="77" spans="1:17">
      <c r="A77" s="179"/>
      <c r="B77" s="179"/>
      <c r="C77" s="179"/>
      <c r="D77" s="179"/>
      <c r="E77" s="179"/>
      <c r="F77" s="179"/>
      <c r="G77" s="179"/>
      <c r="H77" s="179"/>
      <c r="I77" s="179"/>
      <c r="J77" s="179"/>
      <c r="K77" s="179"/>
      <c r="L77" s="179"/>
      <c r="M77" s="179"/>
      <c r="N77" s="179"/>
      <c r="O77" s="179"/>
      <c r="P77" s="179"/>
      <c r="Q77" s="179"/>
    </row>
  </sheetData>
  <sheetProtection sheet="1" objects="1" scenarios="1" selectLockedCells="1"/>
  <mergeCells count="36">
    <mergeCell ref="B1:I1"/>
    <mergeCell ref="P1:Q1"/>
    <mergeCell ref="J1:N1"/>
    <mergeCell ref="A32:Q32"/>
    <mergeCell ref="A33:Q33"/>
    <mergeCell ref="A48:Q49"/>
    <mergeCell ref="A43:Q43"/>
    <mergeCell ref="A42:Q42"/>
    <mergeCell ref="A41:Q41"/>
    <mergeCell ref="A40:Q40"/>
    <mergeCell ref="A47:Q47"/>
    <mergeCell ref="A46:Q46"/>
    <mergeCell ref="A45:Q45"/>
    <mergeCell ref="A44:Q44"/>
    <mergeCell ref="A34:Q35"/>
    <mergeCell ref="A37:Q38"/>
    <mergeCell ref="A39:Q39"/>
    <mergeCell ref="A36:Q36"/>
    <mergeCell ref="A76:Q77"/>
    <mergeCell ref="A58:Q59"/>
    <mergeCell ref="A56:Q57"/>
    <mergeCell ref="A61:Q61"/>
    <mergeCell ref="A60:Q60"/>
    <mergeCell ref="A53:Q54"/>
    <mergeCell ref="A50:Q51"/>
    <mergeCell ref="A75:Q75"/>
    <mergeCell ref="A74:Q74"/>
    <mergeCell ref="A73:Q73"/>
    <mergeCell ref="A72:Q72"/>
    <mergeCell ref="A71:Q71"/>
    <mergeCell ref="A52:Q52"/>
    <mergeCell ref="A68:Q68"/>
    <mergeCell ref="A67:Q67"/>
    <mergeCell ref="A65:Q66"/>
    <mergeCell ref="A69:Q70"/>
    <mergeCell ref="A55:Q5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4006-55B7-46EC-81E2-68FA9FF36CE4}">
  <sheetPr codeName="Sheet2">
    <tabColor rgb="FFFFC000"/>
  </sheetPr>
  <dimension ref="A1:C58"/>
  <sheetViews>
    <sheetView zoomScale="145" zoomScaleNormal="145" workbookViewId="0">
      <selection sqref="A1:B2"/>
    </sheetView>
  </sheetViews>
  <sheetFormatPr defaultColWidth="10.85546875" defaultRowHeight="12.95"/>
  <cols>
    <col min="1" max="1" width="35.85546875" style="60" customWidth="1"/>
    <col min="2" max="16384" width="10.85546875" style="60"/>
  </cols>
  <sheetData>
    <row r="1" spans="1:2">
      <c r="A1" s="239" t="s">
        <v>140</v>
      </c>
      <c r="B1" s="239"/>
    </row>
    <row r="2" spans="1:2">
      <c r="A2" s="239"/>
      <c r="B2" s="239"/>
    </row>
    <row r="3" spans="1:2">
      <c r="A3" s="121" t="s">
        <v>141</v>
      </c>
      <c r="B3" s="121">
        <v>210</v>
      </c>
    </row>
    <row r="4" spans="1:2">
      <c r="A4" s="121" t="s">
        <v>142</v>
      </c>
      <c r="B4" s="121">
        <v>30</v>
      </c>
    </row>
    <row r="5" spans="1:2">
      <c r="A5" s="121" t="s">
        <v>143</v>
      </c>
      <c r="B5" s="121">
        <v>15</v>
      </c>
    </row>
    <row r="6" spans="1:2">
      <c r="A6" s="121" t="s">
        <v>144</v>
      </c>
      <c r="B6" s="121">
        <v>8</v>
      </c>
    </row>
    <row r="7" spans="1:2">
      <c r="A7" s="121" t="s">
        <v>145</v>
      </c>
      <c r="B7" s="121">
        <v>1</v>
      </c>
    </row>
    <row r="8" spans="1:2">
      <c r="A8" s="121" t="s">
        <v>146</v>
      </c>
      <c r="B8" s="121">
        <v>0.5</v>
      </c>
    </row>
    <row r="9" spans="1:2">
      <c r="A9" s="143" t="s">
        <v>147</v>
      </c>
      <c r="B9" s="144">
        <v>0.33</v>
      </c>
    </row>
    <row r="10" spans="1:2" ht="12.95" customHeight="1">
      <c r="A10" s="244" t="s">
        <v>148</v>
      </c>
      <c r="B10" s="245"/>
    </row>
    <row r="11" spans="1:2">
      <c r="A11" s="240"/>
      <c r="B11" s="241"/>
    </row>
    <row r="12" spans="1:2">
      <c r="A12" s="240"/>
      <c r="B12" s="241"/>
    </row>
    <row r="13" spans="1:2">
      <c r="A13" s="240"/>
      <c r="B13" s="241"/>
    </row>
    <row r="14" spans="1:2" ht="12.95" customHeight="1">
      <c r="A14" s="240" t="s">
        <v>149</v>
      </c>
      <c r="B14" s="241"/>
    </row>
    <row r="15" spans="1:2">
      <c r="A15" s="242"/>
      <c r="B15" s="243"/>
    </row>
    <row r="16" spans="1:2">
      <c r="B16" s="61"/>
    </row>
    <row r="17" spans="1:3">
      <c r="A17" s="238" t="s">
        <v>150</v>
      </c>
      <c r="B17" s="238"/>
    </row>
    <row r="18" spans="1:3" ht="14.45">
      <c r="A18" s="121" t="s">
        <v>151</v>
      </c>
      <c r="B18" s="122">
        <v>6.5000000000000002E-2</v>
      </c>
    </row>
    <row r="19" spans="1:3" ht="14.45">
      <c r="A19" s="121" t="s">
        <v>152</v>
      </c>
      <c r="B19" s="123">
        <v>0.01</v>
      </c>
    </row>
    <row r="20" spans="1:3" ht="14.45">
      <c r="A20" s="121" t="s">
        <v>153</v>
      </c>
      <c r="B20" s="124">
        <v>8.4600000000000005E-3</v>
      </c>
    </row>
    <row r="21" spans="1:3" ht="14.45">
      <c r="A21" s="129" t="s">
        <v>154</v>
      </c>
      <c r="B21" s="130">
        <v>7.2499999999999995E-2</v>
      </c>
      <c r="C21" s="62"/>
    </row>
    <row r="22" spans="1:3" ht="30" customHeight="1">
      <c r="A22" s="119" t="s">
        <v>155</v>
      </c>
      <c r="B22" s="171">
        <f>B21-5%</f>
        <v>2.2499999999999992E-2</v>
      </c>
      <c r="C22" s="62"/>
    </row>
    <row r="23" spans="1:3" ht="12.95" customHeight="1">
      <c r="A23" s="244" t="s">
        <v>156</v>
      </c>
      <c r="B23" s="245"/>
    </row>
    <row r="24" spans="1:3">
      <c r="A24" s="240"/>
      <c r="B24" s="241"/>
    </row>
    <row r="25" spans="1:3">
      <c r="A25" s="240"/>
      <c r="B25" s="241"/>
    </row>
    <row r="26" spans="1:3" ht="12.95" customHeight="1">
      <c r="A26" s="240" t="s">
        <v>157</v>
      </c>
      <c r="B26" s="241"/>
    </row>
    <row r="27" spans="1:3">
      <c r="A27" s="240"/>
      <c r="B27" s="241"/>
    </row>
    <row r="28" spans="1:3">
      <c r="A28" s="240"/>
      <c r="B28" s="241"/>
    </row>
    <row r="29" spans="1:3" ht="15.6" customHeight="1">
      <c r="A29" s="240"/>
      <c r="B29" s="241"/>
    </row>
    <row r="30" spans="1:3" ht="12.95" customHeight="1">
      <c r="A30" s="240" t="s">
        <v>158</v>
      </c>
      <c r="B30" s="241"/>
    </row>
    <row r="31" spans="1:3">
      <c r="A31" s="242"/>
      <c r="B31" s="243"/>
    </row>
    <row r="32" spans="1:3">
      <c r="A32" s="127"/>
      <c r="B32" s="128"/>
    </row>
    <row r="33" spans="1:3">
      <c r="A33" s="254" t="s">
        <v>159</v>
      </c>
      <c r="B33" s="254"/>
      <c r="C33" s="14"/>
    </row>
    <row r="34" spans="1:3">
      <c r="A34" s="254"/>
      <c r="B34" s="254"/>
      <c r="C34" s="14"/>
    </row>
    <row r="35" spans="1:3">
      <c r="A35" s="254"/>
      <c r="B35" s="254"/>
      <c r="C35" s="14"/>
    </row>
    <row r="36" spans="1:3">
      <c r="A36" s="254"/>
      <c r="B36" s="254"/>
      <c r="C36" s="14"/>
    </row>
    <row r="37" spans="1:3" ht="15.95" customHeight="1">
      <c r="A37" s="119" t="s">
        <v>160</v>
      </c>
      <c r="B37" s="120">
        <f>((25.29*0.4172)+25.29)*139/119.38</f>
        <v>41.731423454514989</v>
      </c>
      <c r="C37" s="14"/>
    </row>
    <row r="38" spans="1:3" ht="26.1">
      <c r="A38" s="119" t="s">
        <v>161</v>
      </c>
      <c r="B38" s="120">
        <f>((20.98*0.4172)+20.98)*139/119.38</f>
        <v>34.619425230356846</v>
      </c>
      <c r="C38" s="14"/>
    </row>
    <row r="39" spans="1:3" ht="26.1">
      <c r="A39" s="125" t="s">
        <v>162</v>
      </c>
      <c r="B39" s="126">
        <f>((15.28*0.4172)+15.28)*139/119.38</f>
        <v>25.213766326017758</v>
      </c>
      <c r="C39" s="14"/>
    </row>
    <row r="40" spans="1:3">
      <c r="A40" s="246" t="s">
        <v>163</v>
      </c>
      <c r="B40" s="247"/>
    </row>
    <row r="41" spans="1:3">
      <c r="A41" s="248"/>
      <c r="B41" s="249"/>
    </row>
    <row r="42" spans="1:3">
      <c r="A42" s="248"/>
      <c r="B42" s="249"/>
    </row>
    <row r="43" spans="1:3">
      <c r="A43" s="248"/>
      <c r="B43" s="249"/>
    </row>
    <row r="44" spans="1:3">
      <c r="A44" s="248"/>
      <c r="B44" s="249"/>
    </row>
    <row r="45" spans="1:3">
      <c r="A45" s="248" t="s">
        <v>164</v>
      </c>
      <c r="B45" s="249"/>
    </row>
    <row r="46" spans="1:3">
      <c r="A46" s="248"/>
      <c r="B46" s="249"/>
    </row>
    <row r="47" spans="1:3">
      <c r="A47" s="248"/>
      <c r="B47" s="249"/>
    </row>
    <row r="48" spans="1:3">
      <c r="A48" s="240" t="s">
        <v>165</v>
      </c>
      <c r="B48" s="241"/>
    </row>
    <row r="49" spans="1:2">
      <c r="A49" s="240"/>
      <c r="B49" s="241"/>
    </row>
    <row r="50" spans="1:2">
      <c r="A50" s="240"/>
      <c r="B50" s="241"/>
    </row>
    <row r="51" spans="1:2" ht="12.95" customHeight="1">
      <c r="A51" s="240" t="s">
        <v>166</v>
      </c>
      <c r="B51" s="241"/>
    </row>
    <row r="52" spans="1:2">
      <c r="A52" s="240"/>
      <c r="B52" s="241"/>
    </row>
    <row r="53" spans="1:2">
      <c r="A53" s="240"/>
      <c r="B53" s="241"/>
    </row>
    <row r="54" spans="1:2">
      <c r="A54" s="240"/>
      <c r="B54" s="241"/>
    </row>
    <row r="55" spans="1:2">
      <c r="A55" s="240"/>
      <c r="B55" s="241"/>
    </row>
    <row r="56" spans="1:2">
      <c r="A56" s="250" t="s">
        <v>167</v>
      </c>
      <c r="B56" s="251"/>
    </row>
    <row r="57" spans="1:2">
      <c r="A57" s="252"/>
      <c r="B57" s="253"/>
    </row>
    <row r="58" spans="1:2">
      <c r="B58" s="63"/>
    </row>
  </sheetData>
  <sheetProtection sheet="1" objects="1" scenarios="1" selectLockedCells="1"/>
  <mergeCells count="13">
    <mergeCell ref="A56:B57"/>
    <mergeCell ref="A45:B47"/>
    <mergeCell ref="A33:B36"/>
    <mergeCell ref="A23:B25"/>
    <mergeCell ref="A48:B50"/>
    <mergeCell ref="A26:B29"/>
    <mergeCell ref="A51:B55"/>
    <mergeCell ref="A17:B17"/>
    <mergeCell ref="A1:B2"/>
    <mergeCell ref="A14:B15"/>
    <mergeCell ref="A10:B13"/>
    <mergeCell ref="A40:B44"/>
    <mergeCell ref="A30:B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E673-7E85-4341-9091-ACAA3C8AFC29}">
  <sheetPr codeName="Sheet4">
    <tabColor theme="2" tint="-0.499984740745262"/>
  </sheetPr>
  <dimension ref="A1:F55"/>
  <sheetViews>
    <sheetView zoomScale="160" zoomScaleNormal="160" workbookViewId="0">
      <selection activeCell="B1" sqref="B1:C1"/>
    </sheetView>
  </sheetViews>
  <sheetFormatPr defaultColWidth="9" defaultRowHeight="12.95"/>
  <cols>
    <col min="1" max="1" width="3.42578125" style="28" customWidth="1"/>
    <col min="2" max="2" width="17.5703125" style="28" customWidth="1"/>
    <col min="3" max="3" width="20.140625" style="28" customWidth="1"/>
    <col min="4" max="4" width="17.85546875" style="28" customWidth="1"/>
    <col min="5" max="5" width="18.42578125" style="28" customWidth="1"/>
    <col min="6" max="6" width="15.42578125" style="28" customWidth="1"/>
    <col min="7" max="7" width="9" style="28" customWidth="1"/>
    <col min="8" max="16384" width="9" style="28"/>
  </cols>
  <sheetData>
    <row r="1" spans="1:6" ht="18.600000000000001">
      <c r="A1" s="39"/>
      <c r="B1" s="256" t="s">
        <v>168</v>
      </c>
      <c r="C1" s="256"/>
    </row>
    <row r="2" spans="1:6">
      <c r="A2" s="39"/>
      <c r="B2" s="257"/>
      <c r="C2" s="257"/>
    </row>
    <row r="3" spans="1:6">
      <c r="A3" s="255" t="s">
        <v>169</v>
      </c>
      <c r="B3" s="255"/>
      <c r="C3" s="255"/>
    </row>
    <row r="4" spans="1:6" ht="12.95" customHeight="1">
      <c r="B4" s="259" t="s">
        <v>170</v>
      </c>
      <c r="C4" s="259"/>
      <c r="D4" s="259"/>
      <c r="E4" s="259"/>
      <c r="F4" s="259"/>
    </row>
    <row r="5" spans="1:6">
      <c r="A5" s="3"/>
      <c r="B5" s="259"/>
      <c r="C5" s="259"/>
      <c r="D5" s="259"/>
      <c r="E5" s="259"/>
      <c r="F5" s="259"/>
    </row>
    <row r="6" spans="1:6">
      <c r="B6" s="259"/>
      <c r="C6" s="259"/>
      <c r="D6" s="259"/>
      <c r="E6" s="259"/>
      <c r="F6" s="259"/>
    </row>
    <row r="7" spans="1:6">
      <c r="B7" s="165"/>
      <c r="C7" s="165"/>
      <c r="D7" s="165"/>
      <c r="E7" s="165"/>
      <c r="F7" s="165"/>
    </row>
    <row r="8" spans="1:6">
      <c r="B8" s="258" t="s">
        <v>171</v>
      </c>
      <c r="C8" s="258"/>
      <c r="D8" s="258"/>
      <c r="E8" s="258"/>
      <c r="F8" s="258"/>
    </row>
    <row r="9" spans="1:6" ht="26.1">
      <c r="B9" s="56" t="s">
        <v>101</v>
      </c>
      <c r="C9" s="56" t="s">
        <v>102</v>
      </c>
      <c r="D9" s="56" t="s">
        <v>103</v>
      </c>
      <c r="E9" s="56" t="s">
        <v>104</v>
      </c>
      <c r="F9" s="56" t="s">
        <v>105</v>
      </c>
    </row>
    <row r="10" spans="1:6">
      <c r="B10" s="57" t="s">
        <v>172</v>
      </c>
      <c r="C10" s="57" t="s">
        <v>173</v>
      </c>
      <c r="D10" s="57" t="s">
        <v>174</v>
      </c>
      <c r="E10" s="57" t="s">
        <v>175</v>
      </c>
      <c r="F10" s="57" t="s">
        <v>176</v>
      </c>
    </row>
    <row r="11" spans="1:6" ht="21">
      <c r="B11" s="58" t="s">
        <v>177</v>
      </c>
      <c r="C11" s="58" t="s">
        <v>178</v>
      </c>
      <c r="D11" s="58" t="s">
        <v>179</v>
      </c>
      <c r="E11" s="58" t="s">
        <v>180</v>
      </c>
      <c r="F11" s="58" t="s">
        <v>181</v>
      </c>
    </row>
    <row r="12" spans="1:6" ht="21">
      <c r="B12" s="57" t="s">
        <v>182</v>
      </c>
      <c r="C12" s="58" t="s">
        <v>183</v>
      </c>
      <c r="D12" s="57" t="s">
        <v>184</v>
      </c>
      <c r="E12" s="57" t="s">
        <v>185</v>
      </c>
      <c r="F12" s="57" t="s">
        <v>186</v>
      </c>
    </row>
    <row r="13" spans="1:6" ht="21">
      <c r="B13" s="58" t="s">
        <v>187</v>
      </c>
      <c r="C13" s="58"/>
      <c r="D13" s="58" t="s">
        <v>188</v>
      </c>
      <c r="E13" s="58" t="s">
        <v>189</v>
      </c>
      <c r="F13" s="58"/>
    </row>
    <row r="14" spans="1:6" ht="21">
      <c r="B14" s="57"/>
      <c r="C14" s="57"/>
      <c r="D14" s="57" t="s">
        <v>190</v>
      </c>
      <c r="E14" s="57"/>
      <c r="F14" s="57"/>
    </row>
    <row r="15" spans="1:6">
      <c r="B15" s="58"/>
      <c r="C15" s="58"/>
      <c r="D15" s="58"/>
      <c r="E15" s="58"/>
      <c r="F15" s="58"/>
    </row>
    <row r="16" spans="1:6">
      <c r="B16" s="58"/>
      <c r="C16" s="58"/>
      <c r="D16" s="58"/>
      <c r="E16" s="58"/>
      <c r="F16" s="58"/>
    </row>
    <row r="18" spans="2:6">
      <c r="B18" s="255" t="s">
        <v>191</v>
      </c>
      <c r="C18" s="255"/>
      <c r="D18" s="255"/>
      <c r="E18" s="255"/>
      <c r="F18" s="255"/>
    </row>
    <row r="19" spans="2:6" ht="39">
      <c r="B19" s="50" t="s">
        <v>192</v>
      </c>
      <c r="C19" s="51" t="s">
        <v>193</v>
      </c>
      <c r="D19" s="50" t="s">
        <v>194</v>
      </c>
      <c r="E19" s="50" t="s">
        <v>195</v>
      </c>
      <c r="F19" s="42"/>
    </row>
    <row r="20" spans="2:6" ht="26.1">
      <c r="B20" s="52">
        <v>3</v>
      </c>
      <c r="C20" s="41" t="str">
        <f t="array" ref="C20:C24">TRANSPOSE(B9:F9)</f>
        <v>Evapotranspiration Monitoring</v>
      </c>
      <c r="D20" s="52">
        <v>1</v>
      </c>
      <c r="E20" s="52" t="str" cm="1">
        <f t="array" ref="E20">INDEX(Lists!B10:F10,,Lists!$B$20)</f>
        <v>1 - Manual, hand calculated</v>
      </c>
      <c r="F20" s="43"/>
    </row>
    <row r="21" spans="2:6" ht="26.1">
      <c r="B21" s="52"/>
      <c r="C21" s="41" t="str">
        <v>Irrigation System Performance Monitoring</v>
      </c>
      <c r="D21" s="53"/>
      <c r="E21" s="52" t="str" cm="1">
        <f t="array" ref="E21">INDEX(Lists!B11:F11,,Lists!$B$20)</f>
        <v>2a - Manual, propeller meter</v>
      </c>
      <c r="F21" s="43"/>
    </row>
    <row r="22" spans="2:6" ht="26.1">
      <c r="B22" s="52"/>
      <c r="C22" s="41" t="str">
        <v>Applied Water Monitoring</v>
      </c>
      <c r="D22" s="53"/>
      <c r="E22" s="52" t="str" cm="1">
        <f t="array" ref="E22">INDEX(Lists!B12:F12,,Lists!$B$20)</f>
        <v>2b - Manual, mag meter</v>
      </c>
      <c r="F22" s="43"/>
    </row>
    <row r="23" spans="2:6" ht="26.1">
      <c r="B23" s="52"/>
      <c r="C23" s="41" t="str">
        <v>Soil Moisture Monitoring</v>
      </c>
      <c r="D23" s="53"/>
      <c r="E23" s="52" t="str" cm="1">
        <f t="array" ref="E23">INDEX(Lists!B13:F13,,Lists!$B$20)</f>
        <v>3a - Automated, prop meter + telemetry</v>
      </c>
      <c r="F23" s="43"/>
    </row>
    <row r="24" spans="2:6" ht="26.1">
      <c r="B24" s="53"/>
      <c r="C24" s="53" t="str">
        <v>Plant Water Status Monitoring</v>
      </c>
      <c r="D24" s="53"/>
      <c r="E24" s="52" t="str" cm="1">
        <f t="array" ref="E24">INDEX(Lists!B14:F14,,Lists!$B$20)</f>
        <v>3b - Automated, mag meter + telemetry</v>
      </c>
      <c r="F24" s="43"/>
    </row>
    <row r="25" spans="2:6">
      <c r="B25" s="53"/>
      <c r="C25" s="53"/>
      <c r="D25" s="53"/>
      <c r="E25" s="52" cm="1">
        <f t="array" ref="E25">INDEX(Lists!B15:F15,,Lists!$B$20)</f>
        <v>0</v>
      </c>
      <c r="F25" s="43"/>
    </row>
    <row r="26" spans="2:6">
      <c r="B26" s="53"/>
      <c r="C26" s="53"/>
      <c r="D26" s="53"/>
      <c r="E26" s="52" cm="1">
        <f t="array" ref="E26">INDEX(Lists!B16:F16,,Lists!$B$20)</f>
        <v>0</v>
      </c>
      <c r="F26" s="43"/>
    </row>
    <row r="27" spans="2:6">
      <c r="B27" s="43"/>
      <c r="C27" s="43"/>
      <c r="D27" s="43"/>
      <c r="E27" s="44"/>
      <c r="F27" s="43"/>
    </row>
    <row r="28" spans="2:6">
      <c r="B28" s="255" t="s">
        <v>196</v>
      </c>
      <c r="C28" s="255"/>
      <c r="D28" s="255"/>
      <c r="E28" s="255"/>
      <c r="F28" s="255"/>
    </row>
    <row r="29" spans="2:6" ht="39">
      <c r="B29" s="50" t="s">
        <v>197</v>
      </c>
      <c r="C29" s="51" t="s">
        <v>198</v>
      </c>
      <c r="D29" s="50" t="s">
        <v>199</v>
      </c>
      <c r="E29" s="50" t="s">
        <v>200</v>
      </c>
      <c r="F29" s="42"/>
    </row>
    <row r="30" spans="2:6" ht="26.1">
      <c r="B30" s="41">
        <v>2</v>
      </c>
      <c r="C30" s="41" t="str" cm="1">
        <f t="array" ref="C30:C34">TRANSPOSE(B9:F9)</f>
        <v>Evapotranspiration Monitoring</v>
      </c>
      <c r="D30" s="41">
        <v>2</v>
      </c>
      <c r="E30" s="52" t="str" cm="1">
        <f t="array" ref="E30">INDEX(Lists!B10:F10,,Lists!$B$30)</f>
        <v>1 - Spot check every 3yrs</v>
      </c>
      <c r="F30" s="43"/>
    </row>
    <row r="31" spans="2:6" ht="26.1">
      <c r="B31" s="41"/>
      <c r="C31" s="41" t="str">
        <v>Irrigation System Performance Monitoring</v>
      </c>
      <c r="D31" s="41"/>
      <c r="E31" s="52" t="str" cm="1">
        <f t="array" ref="E31">INDEX(Lists!B11:F11,,Lists!$B$30)</f>
        <v>2 - Assess DU every 3yrs</v>
      </c>
    </row>
    <row r="32" spans="2:6" ht="26.1">
      <c r="B32" s="41"/>
      <c r="C32" s="41" t="str">
        <v>Applied Water Monitoring</v>
      </c>
      <c r="D32" s="41"/>
      <c r="E32" s="52" t="str" cm="1">
        <f t="array" ref="E32">INDEX(Lists!B12:F12,,Lists!$B$30)</f>
        <v>3 - Assess DU every 2yrs</v>
      </c>
    </row>
    <row r="33" spans="2:5">
      <c r="B33" s="41"/>
      <c r="C33" s="41" t="str">
        <v>Soil Moisture Monitoring</v>
      </c>
      <c r="D33" s="41"/>
      <c r="E33" s="52" cm="1">
        <f t="array" ref="E33">INDEX(Lists!B13:F13,,Lists!$B$30)</f>
        <v>0</v>
      </c>
    </row>
    <row r="34" spans="2:5">
      <c r="B34" s="41"/>
      <c r="C34" s="41" t="str">
        <v>Plant Water Status Monitoring</v>
      </c>
      <c r="D34" s="41"/>
      <c r="E34" s="52" cm="1">
        <f t="array" ref="E34">INDEX(Lists!B14:F14,,Lists!$B$30)</f>
        <v>0</v>
      </c>
    </row>
    <row r="35" spans="2:5">
      <c r="B35" s="41"/>
      <c r="C35" s="41"/>
      <c r="D35" s="41"/>
      <c r="E35" s="52" cm="1">
        <f t="array" ref="E35">INDEX(Lists!B15:F15,,Lists!$B$30)</f>
        <v>0</v>
      </c>
    </row>
    <row r="36" spans="2:5">
      <c r="B36" s="38"/>
      <c r="C36" s="38"/>
      <c r="D36" s="38"/>
    </row>
    <row r="41" spans="2:5">
      <c r="B41" s="38"/>
    </row>
    <row r="49" spans="2:2">
      <c r="B49" s="38"/>
    </row>
    <row r="50" spans="2:2">
      <c r="B50" s="40"/>
    </row>
    <row r="54" spans="2:2">
      <c r="B54" s="38"/>
    </row>
    <row r="55" spans="2:2">
      <c r="B55" s="40"/>
    </row>
  </sheetData>
  <sheetProtection selectLockedCells="1" selectUnlockedCells="1"/>
  <mergeCells count="7">
    <mergeCell ref="B18:F18"/>
    <mergeCell ref="B28:F28"/>
    <mergeCell ref="B1:C1"/>
    <mergeCell ref="B2:C2"/>
    <mergeCell ref="A3:C3"/>
    <mergeCell ref="B8:F8"/>
    <mergeCell ref="B4:F6"/>
  </mergeCells>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10a318-5788-42c4-bc95-17272ed21e47" xsi:nil="true"/>
    <lcf76f155ced4ddcb4097134ff3c332f xmlns="5d8c711f-12c4-4b74-a160-ecf4c25002d6">
      <Terms xmlns="http://schemas.microsoft.com/office/infopath/2007/PartnerControls"/>
    </lcf76f155ced4ddcb4097134ff3c332f>
    <IconOverlay xmlns="http://schemas.microsoft.com/sharepoint/v4" xsi:nil="true"/>
    <Person xmlns="5d8c711f-12c4-4b74-a160-ecf4c25002d6">
      <UserInfo>
        <DisplayName/>
        <AccountId xsi:nil="true"/>
        <AccountType/>
      </UserInfo>
    </Person>
    <time xmlns="5d8c711f-12c4-4b74-a160-ecf4c25002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19818F9C5024198B6F78956A4E7F7" ma:contentTypeVersion="19" ma:contentTypeDescription="Create a new document." ma:contentTypeScope="" ma:versionID="e06132e7648de846cac35a972461813b">
  <xsd:schema xmlns:xsd="http://www.w3.org/2001/XMLSchema" xmlns:xs="http://www.w3.org/2001/XMLSchema" xmlns:p="http://schemas.microsoft.com/office/2006/metadata/properties" xmlns:ns2="5d8c711f-12c4-4b74-a160-ecf4c25002d6" xmlns:ns3="d810a318-5788-42c4-bc95-17272ed21e47" xmlns:ns4="http://schemas.microsoft.com/sharepoint/v4" targetNamespace="http://schemas.microsoft.com/office/2006/metadata/properties" ma:root="true" ma:fieldsID="d89f1636f13ac376e61374ab4213af38" ns2:_="" ns3:_="" ns4:_="">
    <xsd:import namespace="5d8c711f-12c4-4b74-a160-ecf4c25002d6"/>
    <xsd:import namespace="d810a318-5788-42c4-bc95-17272ed21e47"/>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time" minOccurs="0"/>
                <xsd:element ref="ns2:MediaLengthInSeconds" minOccurs="0"/>
                <xsd:element ref="ns2:lcf76f155ced4ddcb4097134ff3c332f" minOccurs="0"/>
                <xsd:element ref="ns3:TaxCatchAll" minOccurs="0"/>
                <xsd:element ref="ns4:IconOverlay"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c711f-12c4-4b74-a160-ecf4c2500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ime" ma:index="20" nillable="true" ma:displayName="time" ma:format="DateOnly" ma:internalNam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0ba17d1-332e-49f2-a71e-f3f541141499" ma:termSetId="09814cd3-568e-fe90-9814-8d621ff8fb84" ma:anchorId="fba54fb3-c3e1-fe81-a776-ca4b69148c4d" ma:open="true" ma:isKeyword="false">
      <xsd:complexType>
        <xsd:sequence>
          <xsd:element ref="pc:Terms" minOccurs="0" maxOccurs="1"/>
        </xsd:sequence>
      </xsd:complexType>
    </xsd:element>
    <xsd:element name="Person" ma:index="26"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10a318-5788-42c4-bc95-17272ed21e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29c3865-c860-4cfe-bfb0-6374394e6f6f}" ma:internalName="TaxCatchAll" ma:showField="CatchAllData" ma:web="d810a318-5788-42c4-bc95-17272ed21e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572A4-4CB5-45C1-BC11-57E5EB043B2D}"/>
</file>

<file path=customXml/itemProps2.xml><?xml version="1.0" encoding="utf-8"?>
<ds:datastoreItem xmlns:ds="http://schemas.openxmlformats.org/officeDocument/2006/customXml" ds:itemID="{F38717C9-6893-49EF-95B6-1F37717D13B1}"/>
</file>

<file path=customXml/itemProps3.xml><?xml version="1.0" encoding="utf-8"?>
<ds:datastoreItem xmlns:ds="http://schemas.openxmlformats.org/officeDocument/2006/customXml" ds:itemID="{C7234D7E-1FBD-4993-81DC-B0FDA29971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Ellen Yeatman</dc:creator>
  <cp:keywords/>
  <dc:description/>
  <cp:lastModifiedBy/>
  <cp:revision/>
  <dcterms:created xsi:type="dcterms:W3CDTF">2023-03-27T17:21:54Z</dcterms:created>
  <dcterms:modified xsi:type="dcterms:W3CDTF">2025-08-15T14:35:07Z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0x0101006FB19818F9C5024198B6F78956A4E7F7</vt:lpwstr>
  </property>
  <property fmtid="{D5CDD505-2E9C-101B-9397-08002B2CF9AE}" pid="3" name="MediaServiceImageTags">
    <vt:lpwstr/>
  </property>
</Properties>
</file>